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8240" windowHeight="7455" tabRatio="874" firstSheet="1" activeTab="1"/>
  </bookViews>
  <sheets>
    <sheet name="Mã số" sheetId="1" state="hidden" r:id="rId1"/>
    <sheet name="Phân bổ" sheetId="2" r:id="rId2"/>
    <sheet name="MA" sheetId="3" state="hidden" r:id="rId3"/>
    <sheet name="MC" sheetId="4" state="hidden" r:id="rId4"/>
    <sheet name="TG" sheetId="5" state="hidden" r:id="rId5"/>
    <sheet name="TX" sheetId="6" state="hidden" r:id="rId6"/>
    <sheet name="TP" sheetId="7" state="hidden" r:id="rId7"/>
    <sheet name="ĐB" sheetId="8" state="hidden" r:id="rId8"/>
    <sheet name="LQĐ" sheetId="9" state="hidden" r:id="rId9"/>
    <sheet name="TC" sheetId="10" state="hidden" r:id="rId10"/>
    <sheet name="PĐG" sheetId="11" state="hidden" r:id="rId11"/>
    <sheet name="Tr.C" sheetId="12" state="hidden" r:id="rId12"/>
    <sheet name="T.Ch" sheetId="13" state="hidden" r:id="rId13"/>
    <sheet name="BL" sheetId="14" state="hidden" r:id="rId14"/>
    <sheet name="NT" sheetId="15" state="hidden" r:id="rId15"/>
    <sheet name="ML" sheetId="16" state="hidden" r:id="rId16"/>
    <sheet name="MN" sheetId="17" state="hidden" r:id="rId17"/>
    <sheet name="M.Nh" sheetId="18" state="hidden" r:id="rId18"/>
    <sheet name="M.C" sheetId="19" state="hidden" r:id="rId19"/>
    <sheet name="C.Cang" sheetId="20" state="hidden" r:id="rId20"/>
    <sheet name="TST" sheetId="21" state="hidden" r:id="rId21"/>
    <sheet name="T.Nưa" sheetId="22" state="hidden" r:id="rId22"/>
    <sheet name="LTV" sheetId="23" state="hidden" r:id="rId23"/>
    <sheet name="N.P" sheetId="24" state="hidden" r:id="rId24"/>
    <sheet name="Q.T" sheetId="25" state="hidden" r:id="rId25"/>
    <sheet name="Quyết Tiến" sheetId="26" state="hidden" r:id="rId26"/>
    <sheet name="DTNT tỉnh" sheetId="27" state="hidden" r:id="rId27"/>
    <sheet name="DTNT ĐB" sheetId="28" state="hidden" r:id="rId28"/>
    <sheet name="DTNT ĐBĐ" sheetId="29" state="hidden" r:id="rId29"/>
    <sheet name="DTNT TG" sheetId="30" state="hidden" r:id="rId30"/>
    <sheet name="DTNT T.C" sheetId="31" state="hidden" r:id="rId31"/>
    <sheet name="DTNT M.A" sheetId="32" state="hidden" r:id="rId32"/>
    <sheet name="DTNT M.C" sheetId="33" state="hidden" r:id="rId33"/>
    <sheet name="DTNT M.N" sheetId="34" state="hidden" r:id="rId34"/>
    <sheet name="DTNT Nậm Pồ" sheetId="35" state="hidden" r:id="rId35"/>
    <sheet name="GDTX tỉnh" sheetId="36" state="hidden" r:id="rId36"/>
    <sheet name="NN_TH" sheetId="37" state="hidden" r:id="rId37"/>
    <sheet name="HN" sheetId="38" state="hidden" r:id="rId38"/>
    <sheet name="GDHN" sheetId="39" state="hidden" r:id="rId39"/>
    <sheet name="CĐSP" sheetId="40" state="hidden" r:id="rId40"/>
    <sheet name="Văn phòng" sheetId="41" state="hidden" r:id="rId41"/>
    <sheet name="Sheet2" sheetId="42" state="hidden" r:id="rId42"/>
    <sheet name="Chi tiết cải tạo" sheetId="43" state="hidden" r:id="rId43"/>
    <sheet name="CTMT" sheetId="44" state="hidden" r:id="rId44"/>
    <sheet name="Sheet3" sheetId="45" r:id="rId45"/>
  </sheets>
  <externalReferences>
    <externalReference r:id="rId48"/>
    <externalReference r:id="rId49"/>
  </externalReferences>
  <definedNames>
    <definedName name="_xlnm.Print_Titles" localSheetId="42">'Chi tiết cải tạo'!$5:$6</definedName>
    <definedName name="_xlnm.Print_Titles" localSheetId="1">'Phân bổ'!$A:$A,'Phân bổ'!$2:$4</definedName>
    <definedName name="_xlnm.Print_Titles" localSheetId="40">'Văn phòng'!$7:$8</definedName>
  </definedNames>
  <calcPr fullCalcOnLoad="1"/>
</workbook>
</file>

<file path=xl/comments42.xml><?xml version="1.0" encoding="utf-8"?>
<comments xmlns="http://schemas.openxmlformats.org/spreadsheetml/2006/main">
  <authors>
    <author>Windows XP</author>
  </authors>
  <commentList>
    <comment ref="AW52" authorId="0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138 triệu 40% CCTL từ 346 tr KP cấp bù, miễn giảm học phí</t>
        </r>
      </text>
    </comment>
  </commentList>
</comments>
</file>

<file path=xl/sharedStrings.xml><?xml version="1.0" encoding="utf-8"?>
<sst xmlns="http://schemas.openxmlformats.org/spreadsheetml/2006/main" count="1584" uniqueCount="496">
  <si>
    <t>STT</t>
  </si>
  <si>
    <t>I</t>
  </si>
  <si>
    <t>THPT Mường Ảng</t>
  </si>
  <si>
    <t>THPT Mường Chà</t>
  </si>
  <si>
    <t>THPT Tuần Giáo</t>
  </si>
  <si>
    <t>THPT thị xã Mường Lay</t>
  </si>
  <si>
    <t>THPT huyện Điện Biên</t>
  </si>
  <si>
    <t>THPT Chuyên Lê Quý Đôn</t>
  </si>
  <si>
    <t>THPT Tủa Chùa</t>
  </si>
  <si>
    <t>THPT Phan Đình Giót</t>
  </si>
  <si>
    <t>THPT Trần Can</t>
  </si>
  <si>
    <t>THPT Thanh Chăn</t>
  </si>
  <si>
    <t>THPT Búng Lao</t>
  </si>
  <si>
    <t>THPT Mường Luân</t>
  </si>
  <si>
    <t>THPT Mường Nhà</t>
  </si>
  <si>
    <t>THPT Mường Nhé</t>
  </si>
  <si>
    <t>THPT Mùn Chung</t>
  </si>
  <si>
    <t>THPT Chà Cang</t>
  </si>
  <si>
    <t>THPT Lương Thế Vinh</t>
  </si>
  <si>
    <t>THPT Nậm Pồ</t>
  </si>
  <si>
    <t>II</t>
  </si>
  <si>
    <t>Trường CĐSP tỉnh</t>
  </si>
  <si>
    <t>NỘI DUNG</t>
  </si>
  <si>
    <t>TỔNG SỐ</t>
  </si>
  <si>
    <t>GHI CHÚ</t>
  </si>
  <si>
    <t>Thu chi ngân sách về phí lệ phí</t>
  </si>
  <si>
    <t>Dự toán chi NSNN</t>
  </si>
  <si>
    <t>Kinh phí nhiệm vụ thường xuyên</t>
  </si>
  <si>
    <t>Kinh phí nhiệm vụ không thường xuyên</t>
  </si>
  <si>
    <t>Đơn vị: triệu đồng</t>
  </si>
  <si>
    <t>Đơn vị: Trường THPT Mường Ảng</t>
  </si>
  <si>
    <t>Đơn vị: Trường THPT Mường Chà</t>
  </si>
  <si>
    <t>Đơn vị: Trường THPT Tuần Giáo</t>
  </si>
  <si>
    <t>Đơn vị: Trường THPT thị xã Mường Lay</t>
  </si>
  <si>
    <t xml:space="preserve">Đơn vị: Trường THPT huyện Điện Biên </t>
  </si>
  <si>
    <t>Đơn vị: Trường THPT thành phố Điện Biên Phủ</t>
  </si>
  <si>
    <t>Đơn vị: Trường THPT chuyên Lê Quý Đôn</t>
  </si>
  <si>
    <t>Đơn vị: Trường THPT Tủa Chùa</t>
  </si>
  <si>
    <t>Đơn vị: Trường THPT Phan Đình Giót</t>
  </si>
  <si>
    <t>Đơn vị: Trường THPT Trần Can</t>
  </si>
  <si>
    <t>Đơn vị: Trường THPT Thanh Chăn</t>
  </si>
  <si>
    <t>Đơn vị: Trường THPT Búng Lao</t>
  </si>
  <si>
    <t>Đơn vị: Trường THPT Nà Tấu</t>
  </si>
  <si>
    <t>Đơn vị: Trường THPT Mường Luân</t>
  </si>
  <si>
    <t>Đơn vị: Trường THPT Mường Nhà</t>
  </si>
  <si>
    <t>Đơn vị: Trường THPT Mùn Chung</t>
  </si>
  <si>
    <t>Đơn vị: Trường THPT Chà Cang</t>
  </si>
  <si>
    <t>Đơn vị: Trường THPT Thanh Nưa</t>
  </si>
  <si>
    <t>Đơn vị: Trường THCS - THPT Tả Sìn Thàng</t>
  </si>
  <si>
    <t>Đơn vị: Trường THPT Nậm Pồ</t>
  </si>
  <si>
    <t>Đơn vị: Trường THCS-THPT Quài Tở</t>
  </si>
  <si>
    <t>Đơn vị: Trường phổ thông DTNT THPT huyện Điện Biên</t>
  </si>
  <si>
    <t>Đơn vị: Trường phổ thông DTNT THPT huyện Điện Biên Đông</t>
  </si>
  <si>
    <t>Đơn vị: Trường phổ thông DTNT THPT huyện Tuần Giáo</t>
  </si>
  <si>
    <t>Đơn vị: Trường phổ thông DTNT THPT huyện Tủa Chùa</t>
  </si>
  <si>
    <t>Đơn vị: Trường phổ thông DTNT THPT huyện Mường Chà</t>
  </si>
  <si>
    <t>Đơn vị: Trường phổ thông DTNT THPT huyện Mường Nhé</t>
  </si>
  <si>
    <t>Đơn vị: Trường phổ thông DTNT THPT huyện Mường Ảng</t>
  </si>
  <si>
    <t>Đơn vị: Trung tâm GDTX  tỉnh Điện Biên</t>
  </si>
  <si>
    <t>Đơn vị: Trường DTNT tỉnh Điện Biên</t>
  </si>
  <si>
    <t>Đơn vị: Trường THPT Mường Nhé</t>
  </si>
  <si>
    <t>Đơn vị: Trường CĐSP tỉnh Điện Biên</t>
  </si>
  <si>
    <t>Đơn vị tính triệu đồng</t>
  </si>
  <si>
    <t xml:space="preserve">TỔNG HỢP </t>
  </si>
  <si>
    <t>CHI TIẾT THEO ĐƠN VỊ SỬ DỤNG</t>
  </si>
  <si>
    <t xml:space="preserve">KHỐI TRƯỜNG THPT </t>
  </si>
  <si>
    <t>THPT MƯỜNG ẲNG</t>
  </si>
  <si>
    <t>THPT MƯỜNG CHÀ</t>
  </si>
  <si>
    <t>THPT TUẦN GIÁO</t>
  </si>
  <si>
    <t xml:space="preserve"> THPT THỊ XÃ MƯỜNG LAY</t>
  </si>
  <si>
    <t>THPT THÀNH PHỐ ĐIỆN BIÊN PHỦ</t>
  </si>
  <si>
    <t>THPT HUYỆN  ĐIỆN BIÊN</t>
  </si>
  <si>
    <t>THPT LÊ QUÝ ĐÔN</t>
  </si>
  <si>
    <t>THPT TỦA CHÙA</t>
  </si>
  <si>
    <t>THPT PHAN ĐÌNH GIÓT</t>
  </si>
  <si>
    <t>THPT TRẦN CAN</t>
  </si>
  <si>
    <t xml:space="preserve"> THPT THANH CHĂN</t>
  </si>
  <si>
    <t>THPT NÀ TẤU</t>
  </si>
  <si>
    <t>THPT MƯỜNG LUÂN</t>
  </si>
  <si>
    <t>THPT BÚNG LAO</t>
  </si>
  <si>
    <t>THPT MƯỜNG NHÀ</t>
  </si>
  <si>
    <t>THPT MÙN CHUNG</t>
  </si>
  <si>
    <t>THPT MƯỜNG NHÉ</t>
  </si>
  <si>
    <t>THPT CHÀ CANG</t>
  </si>
  <si>
    <t>THPT TẢ SÌN THÀNG</t>
  </si>
  <si>
    <t>THPT THANH NƯA</t>
  </si>
  <si>
    <t>THPT LƯƠNG THẾ VINH</t>
  </si>
  <si>
    <t>THPT NẬM PỒ</t>
  </si>
  <si>
    <t>PTDTNT TỈNH</t>
  </si>
  <si>
    <t>KHỐI TRƯỜNG DTNT HUYỆN</t>
  </si>
  <si>
    <t>DTNT HUYỆN ĐIỆN BIÊN</t>
  </si>
  <si>
    <t>DTNT HUYỆN TỦA CHÙA</t>
  </si>
  <si>
    <t>DTNT HUYỆN ĐIỆN BIÊN ĐÔNG</t>
  </si>
  <si>
    <t xml:space="preserve">DTNT HUYỆN TUẦN GIÁO </t>
  </si>
  <si>
    <t>DTNT HUYỆN MƯỜNG CHÀ</t>
  </si>
  <si>
    <t xml:space="preserve">DTNT HUYỆN MƯỜNG NHÉ </t>
  </si>
  <si>
    <t>DTNT HUYỆN MƯỜNG ẢNG</t>
  </si>
  <si>
    <t>TRUNG TÂM GDTX TỈNH</t>
  </si>
  <si>
    <t>TRƯỜNG CĐSP TỈNH</t>
  </si>
  <si>
    <t>Loại 490-khoản 494</t>
  </si>
  <si>
    <t>Biên chế</t>
  </si>
  <si>
    <t>Số lớp</t>
  </si>
  <si>
    <t>I. Thu chi ngân sách về phí lệ phí</t>
  </si>
  <si>
    <t xml:space="preserve">1. Số thu </t>
  </si>
  <si>
    <t>2. Số thu nộp Ngân sách</t>
  </si>
  <si>
    <t>3. Số thu được để lại chi</t>
  </si>
  <si>
    <t>II. Dự toán chi NSNN</t>
  </si>
  <si>
    <t>Tổng số chi</t>
  </si>
  <si>
    <t>1. Sự nghiệp Giáo dục</t>
  </si>
  <si>
    <t>Trong đó: Tiết kiệm 10% thực hiện điều chỉnh tiền lương</t>
  </si>
  <si>
    <t>2. Sự nghiệp đào tạo</t>
  </si>
  <si>
    <t>Mã số đơn vị sử dụng NSNN</t>
  </si>
  <si>
    <t>Mã số Kho bạc Nhà nước nơi giao dịch</t>
  </si>
  <si>
    <t>Số TT</t>
  </si>
  <si>
    <t>Tên đơn vị</t>
  </si>
  <si>
    <t>Mã số QHNS</t>
  </si>
  <si>
    <t>Mã số KBNN nơi giao dịch</t>
  </si>
  <si>
    <t>TỔNG CỘNG</t>
  </si>
  <si>
    <t>1031712</t>
  </si>
  <si>
    <t>2769</t>
  </si>
  <si>
    <t>1031709</t>
  </si>
  <si>
    <t>2763</t>
  </si>
  <si>
    <t>1031710</t>
  </si>
  <si>
    <t>2764</t>
  </si>
  <si>
    <t>1031714</t>
  </si>
  <si>
    <t>2765</t>
  </si>
  <si>
    <t>THPT TP.Điện Biên Phủ</t>
  </si>
  <si>
    <t>1031711</t>
  </si>
  <si>
    <t>2761</t>
  </si>
  <si>
    <t>1031584</t>
  </si>
  <si>
    <t>2767</t>
  </si>
  <si>
    <t>1031672</t>
  </si>
  <si>
    <t>1031670</t>
  </si>
  <si>
    <t>2762</t>
  </si>
  <si>
    <t>1031671</t>
  </si>
  <si>
    <t>1031763</t>
  </si>
  <si>
    <t>2766</t>
  </si>
  <si>
    <t>1031708</t>
  </si>
  <si>
    <t>1033924</t>
  </si>
  <si>
    <t xml:space="preserve"> THPT Nà Tấu </t>
  </si>
  <si>
    <t>1033929</t>
  </si>
  <si>
    <t>1033362</t>
  </si>
  <si>
    <t>1033926</t>
  </si>
  <si>
    <t>1031213</t>
  </si>
  <si>
    <t>2768</t>
  </si>
  <si>
    <t>1031216</t>
  </si>
  <si>
    <t>1082049</t>
  </si>
  <si>
    <t>2771</t>
  </si>
  <si>
    <t xml:space="preserve">THCS và THPT Tả Sìn Thàng </t>
  </si>
  <si>
    <t>1082048</t>
  </si>
  <si>
    <t xml:space="preserve">THPT Thanh Nưa </t>
  </si>
  <si>
    <t>1098183</t>
  </si>
  <si>
    <t>1123866</t>
  </si>
  <si>
    <t>1123865</t>
  </si>
  <si>
    <t xml:space="preserve">THCS và THPT Quài Tở </t>
  </si>
  <si>
    <t>1123923</t>
  </si>
  <si>
    <t xml:space="preserve">PT DTNT THPT huyện Điện Biên </t>
  </si>
  <si>
    <t>1098180</t>
  </si>
  <si>
    <t>PT DTNT THPT huyện Điện Biên Đông</t>
  </si>
  <si>
    <t>1098179</t>
  </si>
  <si>
    <t>PT DTNT THPT huyện Tuần Giáo</t>
  </si>
  <si>
    <t>1098184</t>
  </si>
  <si>
    <t>PTDTNT THPT huyện Tủa Chùa</t>
  </si>
  <si>
    <t>1098185</t>
  </si>
  <si>
    <t>PT DTNT THPT huyện Mường Ảng</t>
  </si>
  <si>
    <t>1098379</t>
  </si>
  <si>
    <t>PTDTNT THPT huyện Mường Chà</t>
  </si>
  <si>
    <t>1098181</t>
  </si>
  <si>
    <t xml:space="preserve"> PT DTNT THPT huyện Mường Nhé</t>
  </si>
  <si>
    <t>1098182</t>
  </si>
  <si>
    <t>DTNT tỉnh Điện Biên</t>
  </si>
  <si>
    <t>1031668</t>
  </si>
  <si>
    <t>GDTX tỉnh Điện Biên</t>
  </si>
  <si>
    <t>1031669</t>
  </si>
  <si>
    <t>Trung tâm NN-TH</t>
  </si>
  <si>
    <t>1081039</t>
  </si>
  <si>
    <t>Trung tâm KT-TH-HN</t>
  </si>
  <si>
    <t>1034193</t>
  </si>
  <si>
    <t>1032028</t>
  </si>
  <si>
    <t>1.1</t>
  </si>
  <si>
    <t>1.2</t>
  </si>
  <si>
    <t>2.1</t>
  </si>
  <si>
    <t>2.2</t>
  </si>
  <si>
    <t xml:space="preserve">Mã số: </t>
  </si>
  <si>
    <t xml:space="preserve">Mã KBNN nơi giao dịch: </t>
  </si>
  <si>
    <t>Đơn vị: Trường THPT Lương Thế Vinh</t>
  </si>
  <si>
    <t>THCS-THPT QUÀI TỞ</t>
  </si>
  <si>
    <t>Loại 070-khoản 074</t>
  </si>
  <si>
    <t>Loại 070-khoản 075</t>
  </si>
  <si>
    <t>Loại 490-khoản 093</t>
  </si>
  <si>
    <t>TRUNG TÂM KỸ THUẬT TỔNG HỢP HƯỚNG NGHIỆP</t>
  </si>
  <si>
    <t>VĂN PHÒNG SỞ GIÁO DỤC VÀ ĐÀO TẠO</t>
  </si>
  <si>
    <t>Loại 340 khoản 341</t>
  </si>
  <si>
    <t>Loại 070 khoản 074</t>
  </si>
  <si>
    <t>Loại 070 khoản 084</t>
  </si>
  <si>
    <t>Loại 070 khoản 085</t>
  </si>
  <si>
    <t>Loại 070 khoản 072</t>
  </si>
  <si>
    <t>3. Quản lý hành chính</t>
  </si>
  <si>
    <t>1.1 Kinh phí nhiệm vụ thường xuyên</t>
  </si>
  <si>
    <t>1.2 Kinh phí nhiệm vụ không thường xuyên</t>
  </si>
  <si>
    <t>2.1 Kinh phí nhiệm vụ  thường xuyên</t>
  </si>
  <si>
    <t>2.2 Kinh phí nhiệm vụ không thường xuyên</t>
  </si>
  <si>
    <t>3.1 Kinh phí giao tự chủ</t>
  </si>
  <si>
    <t>3.2 Kinh phí giao không tự chủ</t>
  </si>
  <si>
    <t>4. Chương trình mục tiêu Quốc gia xây dựng nông thôn mới</t>
  </si>
  <si>
    <t>4.1 Kinh phí nhiệm vụ  thường xuyên</t>
  </si>
  <si>
    <t>4.2 Kinh phí nhiệm vụ không thường xuyên</t>
  </si>
  <si>
    <t>Hỗ trợ chi phí học tập theo Nghị định số 86/2015/NĐ-CP</t>
  </si>
  <si>
    <t>Cấp bù học phí theo Nghị định số 86/2015/NĐ-CP</t>
  </si>
  <si>
    <t>Hỗ trợ học sinh thôn , xã đặc biệt khó khăn theo Nghị định số 116/2016/NĐ-CP</t>
  </si>
  <si>
    <t>Hỗ trợ học tập theo Nghị định số 57/2017/NĐ-CP</t>
  </si>
  <si>
    <t>Hỗ trợ cho người khuyết tật theo TTLT số 42/2013/TTLT</t>
  </si>
  <si>
    <t>Hỗ trợ học tập theo Quyết định số 66/2013/QĐ-TTg</t>
  </si>
  <si>
    <t>Chính sách nội trú theo Quyết định số 53/2015/QĐ-TTg</t>
  </si>
  <si>
    <t xml:space="preserve">Trong đó: </t>
  </si>
  <si>
    <t>Đơn vị: Trung tâm Ngoại ngữ-Tin học</t>
  </si>
  <si>
    <t>Đơn vị: Trung tâm Kỹ thuật - Tổng hợp - Hướng nghiệp tỉnh</t>
  </si>
  <si>
    <t>Đơn vị: Văn phòng Sở Giáo dục và Đào tạo tỉnh Điện Biên</t>
  </si>
  <si>
    <t>Văn phòng Sở</t>
  </si>
  <si>
    <t>1031713</t>
  </si>
  <si>
    <t>Chia ra</t>
  </si>
  <si>
    <t>Loại 070 khoản 093</t>
  </si>
  <si>
    <t>Hợp tác đào tạo giữa tỉnh Điện Biên với  các tỉnh Bắc Lào giai đoạn 2016-2020</t>
  </si>
  <si>
    <t>Sự nghiệp giáo dục</t>
  </si>
  <si>
    <t>Sự nghiệp đào tạo</t>
  </si>
  <si>
    <t>Quản lý hành chính</t>
  </si>
  <si>
    <t>3.1</t>
  </si>
  <si>
    <t>3.2</t>
  </si>
  <si>
    <t>4.1</t>
  </si>
  <si>
    <t>4.2</t>
  </si>
  <si>
    <t>Đối ứng dự án ODA</t>
  </si>
  <si>
    <t>Loại 070 khoản 073</t>
  </si>
  <si>
    <t>Đề án Dạy và học ngoại ngữ</t>
  </si>
  <si>
    <t>Đề án hợp tác đào tạo giữa tỉnh Điện Biên với các tỉnh Bắc Thái Lan, giai đoạn 2016-2025</t>
  </si>
  <si>
    <t>Đề án đào tạo cán bộ học sinh tỉnh Điện Biên tại nước Cộng hòa nhân dân Trung Hoa</t>
  </si>
  <si>
    <t>Trong đó:</t>
  </si>
  <si>
    <t>Dự toán chi sự nghiệp giáo dục</t>
  </si>
  <si>
    <t>Dự toán chi sự nghiệp đào tạo</t>
  </si>
  <si>
    <t>Sửa chữa, nâng cấp tài sản</t>
  </si>
  <si>
    <t>Tổng số</t>
  </si>
  <si>
    <t>TRUNG TÂM  NGOẠI NGỮ TIN HỌC</t>
  </si>
  <si>
    <t>Đề án dạy tiếng Mông, tiếng Thái</t>
  </si>
  <si>
    <t>Loại 070 khoản 075</t>
  </si>
  <si>
    <t>Cải tạo, sửa chữa, nâng cấp tài sản</t>
  </si>
  <si>
    <t>TT</t>
  </si>
  <si>
    <t>Tổng mức đầu tư (triệu đồng)</t>
  </si>
  <si>
    <t>Tổng cộng</t>
  </si>
  <si>
    <t>Đơn vị: Trường THCS-THPT Quyết Tiến</t>
  </si>
  <si>
    <t>Trong đó: đã bao gồm kinh phí tiết kiệm 10% thực hiện điều chỉnh tiền lương</t>
  </si>
  <si>
    <t>Tên dự án</t>
  </si>
  <si>
    <t>Quyết định phê duyệt</t>
  </si>
  <si>
    <t>Chủ đầu tư</t>
  </si>
  <si>
    <t>Chương</t>
  </si>
  <si>
    <t>Loại</t>
  </si>
  <si>
    <t>Khoản</t>
  </si>
  <si>
    <t>422</t>
  </si>
  <si>
    <t>070</t>
  </si>
  <si>
    <t>074</t>
  </si>
  <si>
    <t>075</t>
  </si>
  <si>
    <t>Mã số</t>
  </si>
  <si>
    <t>Sở Giáo dục và Đào tạo tỉnh Điện Biên</t>
  </si>
  <si>
    <t>Số 1188/QĐ-UBND ngày 28/12/2018 của UBND tỉnh</t>
  </si>
  <si>
    <t>Số 1187/QĐ-UBND ngày 28/12/2018 của UBND tỉnh</t>
  </si>
  <si>
    <t>Số 1215/QĐ-UBND ngày 28/12/2018 của UBND tỉnh</t>
  </si>
  <si>
    <t>Số 1278/QĐ-UBND ngày 28/12/2018 của UBND tỉnh</t>
  </si>
  <si>
    <t>Số 1276/QĐ-UBND ngày 28/12/2018 của UBND tỉnh</t>
  </si>
  <si>
    <t>Số 1281/QĐ-UBND ngày 28/12/2018 của UBND tỉnh</t>
  </si>
  <si>
    <t>Số 1268/QĐ-UBND ngày 28/12/2018 của UBND tỉnh</t>
  </si>
  <si>
    <t>Số 1267/QĐ-UBND ngày 28/12/2018 của UBND tỉnh</t>
  </si>
  <si>
    <t>Số 1277/QĐ-UBND ngày 28/12/2018 của UBND tỉnh</t>
  </si>
  <si>
    <t>Số 1269/QĐ-UBND ngày 28/12/2018 của UBND tỉnh</t>
  </si>
  <si>
    <t>Số 1266/QĐ-UBND ngày 28/12/2018 của UBND tỉnh</t>
  </si>
  <si>
    <t>DTNT HUYỆN NẬM PỒ</t>
  </si>
  <si>
    <t>THCS-THPT QUYẾT TIẾN</t>
  </si>
  <si>
    <t>THCS và THPT Quyết Tiến</t>
  </si>
  <si>
    <t>1127252</t>
  </si>
  <si>
    <t xml:space="preserve"> PT DTNT THPT huyện Nậm Pồ</t>
  </si>
  <si>
    <t>1126819</t>
  </si>
  <si>
    <t>5.Chương trình mục tiêu giáo dục vùng núi, vùng dân tộc thiểu số, vùng khó khăn</t>
  </si>
  <si>
    <t>5.1 Kinh phí nhiệm vụ  thường xuyên</t>
  </si>
  <si>
    <t>5.2 Kinh phí nhiệm vụ không thường xuyên</t>
  </si>
  <si>
    <t>6.1 Kinh phí nhiệm vụ  thường xuyên</t>
  </si>
  <si>
    <t>6.2 Kinh phí nhiệm vụ không thường xuyên</t>
  </si>
  <si>
    <t>6. Chương trình mở rộng quy mô vệ sinh và nước sạch nông thôn dựa trên kết quả do ngân hàng thế giới tài trợ</t>
  </si>
  <si>
    <t>Trong đó</t>
  </si>
  <si>
    <t>Học sinh DTNT</t>
  </si>
  <si>
    <t>Hệ số lương, phụ cấp trong biên chế</t>
  </si>
  <si>
    <t>Mục 6000</t>
  </si>
  <si>
    <t>Mục 6050</t>
  </si>
  <si>
    <t xml:space="preserve"> Mục 6100 </t>
  </si>
  <si>
    <t>Mục 7850</t>
  </si>
  <si>
    <t>Các khoản trích nộp theo lương</t>
  </si>
  <si>
    <t>Các khoản khấu trừ</t>
  </si>
  <si>
    <t>Học bổng học sinh</t>
  </si>
  <si>
    <t>Thực hiện nhiệm vụ không thường xuyên</t>
  </si>
  <si>
    <t>40% học phí cấp bù</t>
  </si>
  <si>
    <t>Định mức phân bổ chi thường xuyên triệu đồng/biên chế</t>
  </si>
  <si>
    <t>Hợp đồng 68</t>
  </si>
  <si>
    <t>Hệ số lương</t>
  </si>
  <si>
    <t>Hệ số phụ cấp lương</t>
  </si>
  <si>
    <t xml:space="preserve">Nâng lương </t>
  </si>
  <si>
    <t xml:space="preserve">Nâng thâm niên </t>
  </si>
  <si>
    <t>Cộng</t>
  </si>
  <si>
    <t>Chế độ chính sách của học sinh, sinh viên</t>
  </si>
  <si>
    <t>Kinh phí thực hiện các chương trình, đề án</t>
  </si>
  <si>
    <t>Mua sắm tài sản</t>
  </si>
  <si>
    <t>Sửa chữa tài sản</t>
  </si>
  <si>
    <t xml:space="preserve"> Tổng số </t>
  </si>
  <si>
    <t>Chức vụ (6101)</t>
  </si>
  <si>
    <t>Khu vực (6102)</t>
  </si>
  <si>
    <t>Thu hút (6103)</t>
  </si>
  <si>
    <t>Độc hại (6107)</t>
  </si>
  <si>
    <t xml:space="preserve"> Ưu đãi (6112) </t>
  </si>
  <si>
    <t xml:space="preserve"> Trách nhiệm (6113) </t>
  </si>
  <si>
    <t>Thâm niên nghề (6115)</t>
  </si>
  <si>
    <t>Đặc biệt (6116)</t>
  </si>
  <si>
    <t>Thâm niên vượt khung (6117)</t>
  </si>
  <si>
    <t>Phụ cấp lâu năm (6121)</t>
  </si>
  <si>
    <t>Phụ cấp công vụ (6124)</t>
  </si>
  <si>
    <t>Phụ cấp khác</t>
  </si>
  <si>
    <t>Phụ cấp Đảng ủy (7854)</t>
  </si>
  <si>
    <t xml:space="preserve"> Chức vụ (6101) </t>
  </si>
  <si>
    <t>Ưu đãi (6112)</t>
  </si>
  <si>
    <t>Trách nhiệm (6113)</t>
  </si>
  <si>
    <t>Nghị định số 86/2015/NĐ-CP</t>
  </si>
  <si>
    <t>Nghị định số 116/2016/NĐ-CP</t>
  </si>
  <si>
    <t>Nghi định số 57/2017/NĐ-CP</t>
  </si>
  <si>
    <t>TTLT số 42/2013/TTLT</t>
  </si>
  <si>
    <t>Quyết định số 66/2013/QĐ-TTg</t>
  </si>
  <si>
    <t>Quyết định số 53/2015/QĐ-TTg</t>
  </si>
  <si>
    <t>Quan hệ hợp tác với Lào</t>
  </si>
  <si>
    <t>Dạy tiếng Mông, tiếng Thái</t>
  </si>
  <si>
    <t>Dạy và học ngoại ngữ</t>
  </si>
  <si>
    <t>Đào tạo tại Trung Quốc</t>
  </si>
  <si>
    <t>Đào tạo tại Thái Lan</t>
  </si>
  <si>
    <t>Đối ứng Dự án THCS</t>
  </si>
  <si>
    <t>CTMT đảm bảo trật tự an toàn giao thông</t>
  </si>
  <si>
    <t>Chương trình mở rộng quy mô vệ sinh nước sạch nông thôn dựa trên kết quả</t>
  </si>
  <si>
    <t>CTMT vùng núi vùng khó khăn</t>
  </si>
  <si>
    <t>CTMTQG Nông thôn mới</t>
  </si>
  <si>
    <t>Cấp bù học phí</t>
  </si>
  <si>
    <t>Hỗ trợ chi phí học tập</t>
  </si>
  <si>
    <t>A</t>
  </si>
  <si>
    <t>Khối THPT</t>
  </si>
  <si>
    <t>Trường THPT Mường Ẳng</t>
  </si>
  <si>
    <t>Trường THPT Mường Chà</t>
  </si>
  <si>
    <t>Trường THPT Tuần Giáo</t>
  </si>
  <si>
    <t>Trường THPT TX Mường Lay</t>
  </si>
  <si>
    <t>Trường THPT TP Điện Biên Phủ</t>
  </si>
  <si>
    <t>Trường THPT huyện Điện Biên</t>
  </si>
  <si>
    <t>Trừơng THPT Lê Quý Đôn</t>
  </si>
  <si>
    <t>Trường THPT Tủa Chùa</t>
  </si>
  <si>
    <t>Trường THPT Phan Đình Giót</t>
  </si>
  <si>
    <t>Trường THPT Trần Can</t>
  </si>
  <si>
    <t>Trường THPT Thanh Chăn</t>
  </si>
  <si>
    <t>Trường THPT Búng Lao</t>
  </si>
  <si>
    <t>Trường THPT Nà Tấu</t>
  </si>
  <si>
    <t>Trường THPT Mường Luân</t>
  </si>
  <si>
    <t>Trường THPT Mường Nhà</t>
  </si>
  <si>
    <t>Trường THPT Mường Nhé</t>
  </si>
  <si>
    <t>Trường THPT Mùn Chung</t>
  </si>
  <si>
    <t>Trường THPT Chà Cang</t>
  </si>
  <si>
    <t>Trường THCS &amp; THPT Tả Sìn Thàng</t>
  </si>
  <si>
    <t>Trường THPT Thanh Nưa</t>
  </si>
  <si>
    <t>Trường THPT Lương Thế Vinh</t>
  </si>
  <si>
    <t>Trường THPT Nậm Pồ</t>
  </si>
  <si>
    <t>Trường THCS và THPT Quài Tở</t>
  </si>
  <si>
    <t>Trường THCS và THPT Quyết Tiến</t>
  </si>
  <si>
    <t xml:space="preserve"> II</t>
  </si>
  <si>
    <t>Khối DTNT</t>
  </si>
  <si>
    <t>Trường DTNT huyện Điện Biên</t>
  </si>
  <si>
    <t>Trường DTNT huyện Điện Biên Đông</t>
  </si>
  <si>
    <t>Trường DTNT huyện Tuần Giáo</t>
  </si>
  <si>
    <t>Trường DTNT huyện Tuả Chùa</t>
  </si>
  <si>
    <t>Trường DTNT huyện Mường Ẳng</t>
  </si>
  <si>
    <t>Trường DTNT huyện Mường Chà</t>
  </si>
  <si>
    <t>Trường DTNT huyện Mường Nhé</t>
  </si>
  <si>
    <t>Trường DTNT huyện Nậm Pồ</t>
  </si>
  <si>
    <t>III</t>
  </si>
  <si>
    <t>Trường DTNT tỉnh</t>
  </si>
  <si>
    <t>IV</t>
  </si>
  <si>
    <t>Trung tâm GDTX tỉnh</t>
  </si>
  <si>
    <t>V</t>
  </si>
  <si>
    <t>Trung tâm NN - Tin học</t>
  </si>
  <si>
    <t>VII</t>
  </si>
  <si>
    <t>Trung tâm hỗ trợ PTGDHN tỉnh</t>
  </si>
  <si>
    <t>Văn phòng</t>
  </si>
  <si>
    <t xml:space="preserve"> B </t>
  </si>
  <si>
    <t>Cao đẳng sư phạm</t>
  </si>
  <si>
    <t>C</t>
  </si>
  <si>
    <t>Sở Giáo dục &amp; Đào tạo</t>
  </si>
  <si>
    <t>D</t>
  </si>
  <si>
    <t>Chương trình, dự án</t>
  </si>
  <si>
    <t>Mua thiết bị, phần mềm quản lý</t>
  </si>
  <si>
    <t>Chương trình mục tiêu quốc gia Xây dựng nông thôn mới. Mã chương trình 0390.0397</t>
  </si>
  <si>
    <t>5.1</t>
  </si>
  <si>
    <t>5.2</t>
  </si>
  <si>
    <t>6.1</t>
  </si>
  <si>
    <t>6.2</t>
  </si>
  <si>
    <t>7.1</t>
  </si>
  <si>
    <t>7.2</t>
  </si>
  <si>
    <t xml:space="preserve"> Kinh phí nhiệm vụ  thường xuyên</t>
  </si>
  <si>
    <t>Kinh phí nhiệm vụ  thường xuyên</t>
  </si>
  <si>
    <t>Chương trình mở rộng quy mô vệ sinh và nước sạch nông thôn dựa trên kết quả do ngân hàng thế giới tài trợ</t>
  </si>
  <si>
    <t xml:space="preserve">Nguồn ngân sách chi thường xuyên sự nghiệp giáo dục và đào tạo có tính chất đầu tư </t>
  </si>
  <si>
    <t>Mã KBNN nơi giao dịch</t>
  </si>
  <si>
    <t xml:space="preserve"> Loại 250 Khoản 262</t>
  </si>
  <si>
    <t>Chương trình mục tiêu đảm bảo trật tự an toàn giao thông, phòng cháy chữa cháy, phòng chống tội phạm và ma túy. Mã số chương trình mục tiêu: 0660-0669.  Loại 040 khoản 041</t>
  </si>
  <si>
    <t xml:space="preserve"> Loại 040 Khoản 041</t>
  </si>
  <si>
    <t>7. Chương trình mục tiêu đảm bảo trật tự an toàn giao thông, phòng cháy chữa cháy, phòng chống tội phạm và ma túy</t>
  </si>
  <si>
    <t>7.1 Kinh phí nhiệm vụ  thường xuyên</t>
  </si>
  <si>
    <t>7.2 Kinh phí nhiệm vụ không thường xuyên</t>
  </si>
  <si>
    <t>Học bổng học sinh trường chuyên</t>
  </si>
  <si>
    <t>Học bổng học sinh trường DTNT</t>
  </si>
  <si>
    <t>Đơn vị: Trường phổ thông DTNT THPT huyện Nậm Pồ</t>
  </si>
  <si>
    <t>Ôn thi cho học sinh</t>
  </si>
  <si>
    <t xml:space="preserve">                  Tiết kiệm thêm 10% thực hiện điều chỉnh tiền lương</t>
  </si>
  <si>
    <t xml:space="preserve"> Tiết kiệm thêm 10% thực hiện điều chỉnh tiền lương</t>
  </si>
  <si>
    <t>Chương trình mục tiêu giáo dục vùng núi, vùng dân tộc thiểu số, vùng khó khăn. Mã số 0690.0699</t>
  </si>
  <si>
    <t>Chi phí nghiệp vụ chuyên môn ngành</t>
  </si>
  <si>
    <t xml:space="preserve">Trung tâm hỗ trợ phát triển giáo dục hòa nhập tỉnh Điện Biên </t>
  </si>
  <si>
    <t>1129052</t>
  </si>
  <si>
    <t>Đơn vị: Trung tâm hỗ trợ phát triển giáo dục hòa nhập tỉnh Điện Biên</t>
  </si>
  <si>
    <t>TRUNG TÂM HỖ TRỢ PHÁT TRIỂN GIÁO DỤC HÒA NHẬP</t>
  </si>
  <si>
    <t xml:space="preserve">Chi thường  xuyên </t>
  </si>
  <si>
    <t>40 %thu</t>
  </si>
  <si>
    <t>40% Nguồn thu được để lại</t>
  </si>
  <si>
    <t>Nguồn CCTL năm 2019 chưa sử dụng hết chuyển sang</t>
  </si>
  <si>
    <t>Chi thường  xuyên theo tiêu chí phân bổ</t>
  </si>
  <si>
    <t>Bổ sung chi thường xuyên ngoài tiêu chí phân bổ</t>
  </si>
  <si>
    <t>Chi nghiệp vụ chuyên môn</t>
  </si>
  <si>
    <t>Trang phục thanh tra</t>
  </si>
  <si>
    <t>Chi công tác thi, Hội khỏe cấp tỉnh,…</t>
  </si>
  <si>
    <t>Hội khỏe toàn quốc</t>
  </si>
  <si>
    <t>Biên soạn tài liệu địa phương</t>
  </si>
  <si>
    <t>Chi ôn thi cho học sinh DTNT</t>
  </si>
  <si>
    <t>Đối ứng Chương trình mục tiêu giáo dục vùng núi, vùng dân tộc thiểu số, vùng khó khăn</t>
  </si>
  <si>
    <t>Kinh phí sự nghiệp có tính chất đầu tư</t>
  </si>
  <si>
    <t>Loai 070 khoản 074</t>
  </si>
  <si>
    <t>Học bổng và hỗ trợ khác cho học sinh, sinh viên</t>
  </si>
  <si>
    <t>TỔNG HỢP PHÂN BỔ DỰ TOÁN NGÂN SÁCH NĂM 2021</t>
  </si>
  <si>
    <t>(Kèm theo Công văn số          /SGDĐT-KHTC ngày 31/ 12/2020 của Sở Giáo dục và Đào tạo)</t>
  </si>
  <si>
    <t>Biên chế được giao năm 2021</t>
  </si>
  <si>
    <t>Biên chế giao quỹ lương năm 2021</t>
  </si>
  <si>
    <t>Tổng cộng tiền lương, tiền công, phụ cấp</t>
  </si>
  <si>
    <t>Quỹ tiền lương năm 2021</t>
  </si>
  <si>
    <t>Dự kiến nâng lương 2021</t>
  </si>
  <si>
    <t>Nhu cầu lương viên chức tuyển mới 2021</t>
  </si>
  <si>
    <t>Quỹ lương ngân sách cấp 2021</t>
  </si>
  <si>
    <t>Tổng dự toán chi năm 2021</t>
  </si>
  <si>
    <t>40% CCTL từ nguồn thu năm 2021 (bao gồm 40% CCTL từ  kinh phí cấp bù học phí)</t>
  </si>
  <si>
    <t>Tiết kiệm 10% chi thường xuyên 2021</t>
  </si>
  <si>
    <t>Tiết kiệm  10% tăng thêm chi thường xuyên 2021</t>
  </si>
  <si>
    <t>Thuê hệ thống bồi dưỡng qua mạng</t>
  </si>
  <si>
    <t>Kinh phí chi tăng thêm do mở rộng quy mô các trường DTNT</t>
  </si>
  <si>
    <t>Trường THPT Mường Ảng</t>
  </si>
  <si>
    <t>Trường THPT thị xã Mường Lay</t>
  </si>
  <si>
    <t>Trường THPT TP.Điện Biên Phủ</t>
  </si>
  <si>
    <t>Trường THPT Chuyên Lê Quý Đôn</t>
  </si>
  <si>
    <t xml:space="preserve">Trường THCS và THPT Tả Sìn Thàng </t>
  </si>
  <si>
    <t xml:space="preserve">Trường THPT Thanh Nưa </t>
  </si>
  <si>
    <t>Trường Trung học phổ thông Nậm Pồ</t>
  </si>
  <si>
    <t>Trường Trung học phổ thông Lương Thế Vinh</t>
  </si>
  <si>
    <t>Trường THCS và THPT Quài Tở huyện Tuần Giáo</t>
  </si>
  <si>
    <t>Trường THCS và THPT Quyết tiến</t>
  </si>
  <si>
    <t xml:space="preserve">Trường PTDTNT THPT huyện Điện Biên </t>
  </si>
  <si>
    <t>Trường Phổ thông DTNT THPT huyện Điện Biên Đông</t>
  </si>
  <si>
    <t>Trường phổ thông DTNT THPT Huyện Tuần Giáo</t>
  </si>
  <si>
    <t>Trường PTDTNT THPT huyện Tủa chùa</t>
  </si>
  <si>
    <t>Trường PT DTNT THPT huyện Mường Ảng</t>
  </si>
  <si>
    <t>Trường PTDTNT - THPT. Mường Chà</t>
  </si>
  <si>
    <t>Trường PT DTNT THPT huyện Mường Nhé</t>
  </si>
  <si>
    <t>Trường PT DTNT THPT huyện Nậm Pồ</t>
  </si>
  <si>
    <t>Trung tâm Giáo dục thường xuyên tỉnh</t>
  </si>
  <si>
    <t>Loại 070-khoản 083</t>
  </si>
  <si>
    <t xml:space="preserve">Dự toán chi </t>
  </si>
  <si>
    <t>a)</t>
  </si>
  <si>
    <t>b)</t>
  </si>
  <si>
    <t>CHI TIẾT GIAO DỰ TOÁN CHI NGÂN SÁCH NHÀ NƯỚC NĂM 2021</t>
  </si>
  <si>
    <t>Tổng</t>
  </si>
  <si>
    <t>(Kèm theo Quyết định số 3346/QĐ-SGDĐT ngày 31 tháng 12 năm 2020 của Sở Giáo dục và Đào tạo)</t>
  </si>
  <si>
    <t>Trong đó: Biên soạn tài liệu địa phương: 2.000 triệu đồng; HKPĐ toàn quốc: 500 triệu đồng; Thuê hệ thống bồi dưỡng qua mạng: 1.000 triệu đồng</t>
  </si>
  <si>
    <t>Cải tạo, sửa chữa, nâng cấp trường phổ thông DTNT THPT huyện Tủa Chùa</t>
  </si>
  <si>
    <t>Cải tạo, sửa chữa, nâng cấp trường THPT Tuần Giáo</t>
  </si>
  <si>
    <t>Cải tạo, sửa chữa trường THPT Búng Lao huyện Mường Ảng</t>
  </si>
  <si>
    <t>Cải tạo, sửa chữa, nâng cấp trường THPT Mường Ảng</t>
  </si>
  <si>
    <t>Cải tạo, sửa chữa trường THPT Nà Tấu huyện Điện Biên</t>
  </si>
  <si>
    <t>Cải tạo, sửa chữa trường THPT Chà Cang</t>
  </si>
  <si>
    <t>Cải tạo, sửa chữa, nâng cấp trường THPT thị xã Mường Lay</t>
  </si>
  <si>
    <t>Cải tạo, sửa chữa trường PT DTNT THPT huyện Mường Chà năm 2020</t>
  </si>
  <si>
    <t>Cải tạo, sửa chữa, nâng cấp trường THPT Mường Chà</t>
  </si>
  <si>
    <t>Cải tạo, sửa chữa trường THPT Mường Nhà</t>
  </si>
  <si>
    <t>Cải tạo, sửa chữa, nâng cấp trường Phổ thông DTNT THPT huyện Điện Biên Đông</t>
  </si>
  <si>
    <t>Dự toán đã giao năm 2020</t>
  </si>
  <si>
    <t>Khối lượng nghiệm thu 31/12/2020</t>
  </si>
  <si>
    <t>Dự toán giao năm 2021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</si>
</sst>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ó&quot;;&quot;Có&quot;;&quot;Không&quot;"/>
    <numFmt numFmtId="165" formatCode="&quot;Đúng&quot;;&quot;Đúng&quot;;&quot;Sai&quot;"/>
    <numFmt numFmtId="166" formatCode="&quot;Bật&quot;;&quot;Bật&quot;;&quot;Tắt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-* #,##0.00\ _₫_-;\-* #,##0.00\ _₫_-;_-* &quot;-&quot;??\ _₫_-;_-@_-"/>
    <numFmt numFmtId="171" formatCode="_-* #,##0\ _₫_-;\-* #,##0\ _₫_-;_-* &quot;-&quot;??\ _₫_-;_-@_-"/>
    <numFmt numFmtId="172" formatCode="_(* #,##0.0_);_(* \(#,##0.0\);_(* &quot;-&quot;?_);_(@_)"/>
    <numFmt numFmtId="173" formatCode="#,##0.000;[Red]#,##0.000"/>
    <numFmt numFmtId="174" formatCode="0.000;[Red]0.000"/>
    <numFmt numFmtId="175" formatCode="_-* #,##0.00\ _€_-;\-* #,##0.00\ _€_-;_-* &quot;-&quot;??\ _€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"/>
    <numFmt numFmtId="180" formatCode="0.0"/>
    <numFmt numFmtId="181" formatCode="_(* #,##0.000_);_(* \(#,##0.000\);_(* &quot;-&quot;??_);_(@_)"/>
    <numFmt numFmtId="182" formatCode="_(* #,##0.00000_);_(* \(#,##0.00000\);_(* &quot;-&quot;??_);_(@_)"/>
    <numFmt numFmtId="183" formatCode="0.000"/>
    <numFmt numFmtId="184" formatCode="0.0000"/>
  </numFmts>
  <fonts count="7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0"/>
      <name val=".VnTime"/>
      <family val="2"/>
    </font>
    <font>
      <sz val="8"/>
      <name val=".VnTime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2"/>
      <name val=".VnTime"/>
      <family val="2"/>
    </font>
    <font>
      <sz val="12"/>
      <color indexed="10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.VnArial Narrow"/>
      <family val="2"/>
    </font>
    <font>
      <sz val="14"/>
      <name val=".VnTime"/>
      <family val="2"/>
    </font>
    <font>
      <b/>
      <sz val="11"/>
      <name val=".VnTime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sz val="11"/>
      <name val="Cambria"/>
      <family val="1"/>
    </font>
    <font>
      <sz val="13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theme="1"/>
      <name val="Times New Roman"/>
      <family val="1"/>
    </font>
    <font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27" borderId="1" applyNumberFormat="0" applyAlignment="0" applyProtection="0"/>
    <xf numFmtId="0" fontId="5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32" borderId="7" applyNumberFormat="0" applyFont="0" applyAlignment="0" applyProtection="0"/>
    <xf numFmtId="0" fontId="67" fillId="27" borderId="8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25" fillId="0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10" fillId="0" borderId="0" xfId="42" applyFont="1">
      <alignment/>
      <protection/>
    </xf>
    <xf numFmtId="0" fontId="7" fillId="0" borderId="0" xfId="42" applyFont="1">
      <alignment/>
      <protection/>
    </xf>
    <xf numFmtId="172" fontId="10" fillId="0" borderId="0" xfId="42" applyNumberFormat="1" applyFont="1" applyBorder="1">
      <alignment/>
      <protection/>
    </xf>
    <xf numFmtId="0" fontId="10" fillId="0" borderId="0" xfId="42" applyFont="1" applyBorder="1">
      <alignment/>
      <protection/>
    </xf>
    <xf numFmtId="0" fontId="10" fillId="0" borderId="0" xfId="42" applyFont="1" applyAlignment="1">
      <alignment horizontal="right"/>
      <protection/>
    </xf>
    <xf numFmtId="0" fontId="9" fillId="0" borderId="0" xfId="42" applyFont="1">
      <alignment/>
      <protection/>
    </xf>
    <xf numFmtId="168" fontId="10" fillId="0" borderId="12" xfId="60" applyNumberFormat="1" applyFont="1" applyFill="1" applyBorder="1" applyAlignment="1">
      <alignment/>
    </xf>
    <xf numFmtId="0" fontId="10" fillId="0" borderId="13" xfId="42" applyFont="1" applyFill="1" applyBorder="1">
      <alignment/>
      <protection/>
    </xf>
    <xf numFmtId="0" fontId="10" fillId="0" borderId="0" xfId="42" applyFont="1" applyFill="1">
      <alignment/>
      <protection/>
    </xf>
    <xf numFmtId="168" fontId="9" fillId="0" borderId="10" xfId="60" applyNumberFormat="1" applyFont="1" applyFill="1" applyBorder="1" applyAlignment="1">
      <alignment/>
    </xf>
    <xf numFmtId="0" fontId="10" fillId="0" borderId="10" xfId="42" applyFont="1" applyFill="1" applyBorder="1">
      <alignment/>
      <protection/>
    </xf>
    <xf numFmtId="0" fontId="12" fillId="0" borderId="0" xfId="42" applyFont="1" applyFill="1">
      <alignment/>
      <protection/>
    </xf>
    <xf numFmtId="0" fontId="12" fillId="0" borderId="0" xfId="42" applyFont="1">
      <alignment/>
      <protection/>
    </xf>
    <xf numFmtId="0" fontId="10" fillId="0" borderId="10" xfId="42" applyFont="1" applyFill="1" applyBorder="1" applyAlignment="1">
      <alignment horizontal="center"/>
      <protection/>
    </xf>
    <xf numFmtId="168" fontId="10" fillId="0" borderId="10" xfId="60" applyNumberFormat="1" applyFont="1" applyFill="1" applyBorder="1" applyAlignment="1">
      <alignment/>
    </xf>
    <xf numFmtId="169" fontId="10" fillId="0" borderId="10" xfId="60" applyNumberFormat="1" applyFont="1" applyFill="1" applyBorder="1" applyAlignment="1">
      <alignment/>
    </xf>
    <xf numFmtId="168" fontId="10" fillId="0" borderId="14" xfId="60" applyNumberFormat="1" applyFont="1" applyFill="1" applyBorder="1" applyAlignment="1">
      <alignment/>
    </xf>
    <xf numFmtId="43" fontId="12" fillId="0" borderId="0" xfId="60" applyFont="1" applyFill="1" applyAlignment="1">
      <alignment/>
    </xf>
    <xf numFmtId="172" fontId="12" fillId="0" borderId="15" xfId="44" applyNumberFormat="1" applyFont="1" applyFill="1" applyBorder="1">
      <alignment/>
      <protection/>
    </xf>
    <xf numFmtId="172" fontId="12" fillId="0" borderId="0" xfId="44" applyNumberFormat="1" applyFont="1" applyFill="1" applyBorder="1">
      <alignment/>
      <protection/>
    </xf>
    <xf numFmtId="0" fontId="12" fillId="0" borderId="0" xfId="44" applyFont="1" applyFill="1" applyBorder="1">
      <alignment/>
      <protection/>
    </xf>
    <xf numFmtId="0" fontId="12" fillId="0" borderId="0" xfId="44" applyFont="1" applyFill="1">
      <alignment/>
      <protection/>
    </xf>
    <xf numFmtId="0" fontId="15" fillId="0" borderId="0" xfId="44" applyFont="1" applyFill="1">
      <alignment/>
      <protection/>
    </xf>
    <xf numFmtId="172" fontId="12" fillId="0" borderId="0" xfId="44" applyNumberFormat="1" applyFont="1" applyFill="1">
      <alignment/>
      <protection/>
    </xf>
    <xf numFmtId="0" fontId="16" fillId="0" borderId="16" xfId="44" applyFont="1" applyFill="1" applyBorder="1" applyAlignment="1">
      <alignment horizontal="center" vertical="center" wrapText="1"/>
      <protection/>
    </xf>
    <xf numFmtId="0" fontId="3" fillId="0" borderId="0" xfId="44" applyFont="1" applyFill="1">
      <alignment/>
      <protection/>
    </xf>
    <xf numFmtId="0" fontId="6" fillId="0" borderId="11" xfId="44" applyFont="1" applyFill="1" applyBorder="1" applyAlignment="1">
      <alignment horizontal="left" vertical="center" wrapText="1"/>
      <protection/>
    </xf>
    <xf numFmtId="0" fontId="6" fillId="0" borderId="13" xfId="44" applyFont="1" applyFill="1" applyBorder="1" applyAlignment="1">
      <alignment horizontal="left" vertical="center" wrapText="1"/>
      <protection/>
    </xf>
    <xf numFmtId="169" fontId="6" fillId="0" borderId="10" xfId="60" applyNumberFormat="1" applyFont="1" applyFill="1" applyBorder="1" applyAlignment="1">
      <alignment/>
    </xf>
    <xf numFmtId="169" fontId="6" fillId="0" borderId="11" xfId="60" applyNumberFormat="1" applyFont="1" applyFill="1" applyBorder="1" applyAlignment="1">
      <alignment/>
    </xf>
    <xf numFmtId="169" fontId="6" fillId="0" borderId="11" xfId="60" applyNumberFormat="1" applyFont="1" applyFill="1" applyBorder="1" applyAlignment="1">
      <alignment horizontal="center" vertical="center" wrapText="1"/>
    </xf>
    <xf numFmtId="0" fontId="6" fillId="0" borderId="11" xfId="44" applyFont="1" applyFill="1" applyBorder="1">
      <alignment/>
      <protection/>
    </xf>
    <xf numFmtId="0" fontId="6" fillId="0" borderId="0" xfId="44" applyFont="1" applyFill="1">
      <alignment/>
      <protection/>
    </xf>
    <xf numFmtId="169" fontId="6" fillId="0" borderId="13" xfId="60" applyNumberFormat="1" applyFont="1" applyFill="1" applyBorder="1" applyAlignment="1">
      <alignment/>
    </xf>
    <xf numFmtId="169" fontId="6" fillId="0" borderId="13" xfId="60" applyNumberFormat="1" applyFont="1" applyFill="1" applyBorder="1" applyAlignment="1">
      <alignment horizontal="center" vertical="center" wrapText="1"/>
    </xf>
    <xf numFmtId="0" fontId="6" fillId="0" borderId="13" xfId="44" applyFont="1" applyFill="1" applyBorder="1">
      <alignment/>
      <protection/>
    </xf>
    <xf numFmtId="0" fontId="6" fillId="0" borderId="10" xfId="44" applyFont="1" applyFill="1" applyBorder="1">
      <alignment/>
      <protection/>
    </xf>
    <xf numFmtId="168" fontId="7" fillId="0" borderId="10" xfId="55" applyNumberFormat="1" applyFont="1" applyFill="1" applyBorder="1" applyAlignment="1">
      <alignment/>
    </xf>
    <xf numFmtId="0" fontId="7" fillId="0" borderId="10" xfId="44" applyFont="1" applyFill="1" applyBorder="1">
      <alignment/>
      <protection/>
    </xf>
    <xf numFmtId="0" fontId="7" fillId="0" borderId="0" xfId="44" applyFont="1" applyFill="1">
      <alignment/>
      <protection/>
    </xf>
    <xf numFmtId="0" fontId="19" fillId="0" borderId="10" xfId="44" applyFont="1" applyFill="1" applyBorder="1">
      <alignment/>
      <protection/>
    </xf>
    <xf numFmtId="0" fontId="19" fillId="0" borderId="0" xfId="44" applyFont="1" applyFill="1">
      <alignment/>
      <protection/>
    </xf>
    <xf numFmtId="0" fontId="13" fillId="0" borderId="17" xfId="44" applyFont="1" applyFill="1" applyBorder="1">
      <alignment/>
      <protection/>
    </xf>
    <xf numFmtId="0" fontId="20" fillId="0" borderId="17" xfId="44" applyFont="1" applyFill="1" applyBorder="1">
      <alignment/>
      <protection/>
    </xf>
    <xf numFmtId="168" fontId="6" fillId="0" borderId="10" xfId="55" applyNumberFormat="1" applyFont="1" applyFill="1" applyBorder="1" applyAlignment="1">
      <alignment/>
    </xf>
    <xf numFmtId="0" fontId="15" fillId="0" borderId="17" xfId="44" applyFont="1" applyFill="1" applyBorder="1">
      <alignment/>
      <protection/>
    </xf>
    <xf numFmtId="168" fontId="11" fillId="0" borderId="10" xfId="55" applyNumberFormat="1" applyFont="1" applyFill="1" applyBorder="1" applyAlignment="1">
      <alignment/>
    </xf>
    <xf numFmtId="172" fontId="6" fillId="0" borderId="10" xfId="44" applyNumberFormat="1" applyFont="1" applyFill="1" applyBorder="1">
      <alignment/>
      <protection/>
    </xf>
    <xf numFmtId="168" fontId="12" fillId="0" borderId="0" xfId="44" applyNumberFormat="1" applyFont="1" applyFill="1">
      <alignment/>
      <protection/>
    </xf>
    <xf numFmtId="168" fontId="3" fillId="0" borderId="0" xfId="44" applyNumberFormat="1" applyFont="1" applyFill="1">
      <alignment/>
      <protection/>
    </xf>
    <xf numFmtId="0" fontId="7" fillId="0" borderId="0" xfId="0" applyFont="1" applyFill="1" applyAlignment="1">
      <alignment/>
    </xf>
    <xf numFmtId="0" fontId="7" fillId="0" borderId="16" xfId="44" applyFont="1" applyFill="1" applyBorder="1" applyAlignment="1">
      <alignment horizontal="right"/>
      <protection/>
    </xf>
    <xf numFmtId="0" fontId="7" fillId="0" borderId="16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 vertical="center" wrapText="1"/>
    </xf>
    <xf numFmtId="0" fontId="7" fillId="0" borderId="18" xfId="44" applyFont="1" applyFill="1" applyBorder="1" applyAlignment="1">
      <alignment horizontal="right"/>
      <protection/>
    </xf>
    <xf numFmtId="0" fontId="7" fillId="0" borderId="18" xfId="0" applyFont="1" applyFill="1" applyBorder="1" applyAlignment="1">
      <alignment horizontal="right"/>
    </xf>
    <xf numFmtId="0" fontId="1" fillId="0" borderId="16" xfId="0" applyFont="1" applyFill="1" applyBorder="1" applyAlignment="1">
      <alignment vertical="center" wrapText="1"/>
    </xf>
    <xf numFmtId="0" fontId="12" fillId="0" borderId="0" xfId="44" applyFont="1" applyFill="1" applyAlignment="1">
      <alignment horizontal="right"/>
      <protection/>
    </xf>
    <xf numFmtId="0" fontId="5" fillId="0" borderId="16" xfId="70" applyFont="1" applyFill="1" applyBorder="1" applyAlignment="1">
      <alignment horizontal="center" vertical="center" wrapText="1"/>
      <protection/>
    </xf>
    <xf numFmtId="0" fontId="21" fillId="0" borderId="16" xfId="70" applyFont="1" applyFill="1" applyBorder="1" applyAlignment="1">
      <alignment horizontal="center" vertical="top" wrapText="1"/>
      <protection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49" fontId="0" fillId="0" borderId="10" xfId="0" applyNumberFormat="1" applyBorder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/>
    </xf>
    <xf numFmtId="49" fontId="0" fillId="0" borderId="10" xfId="0" applyNumberFormat="1" applyBorder="1" applyAlignment="1">
      <alignment horizontal="right"/>
    </xf>
    <xf numFmtId="0" fontId="1" fillId="0" borderId="14" xfId="0" applyFont="1" applyFill="1" applyBorder="1" applyAlignment="1">
      <alignment vertical="center"/>
    </xf>
    <xf numFmtId="49" fontId="7" fillId="0" borderId="16" xfId="44" applyNumberFormat="1" applyFont="1" applyFill="1" applyBorder="1" applyAlignment="1">
      <alignment horizontal="right"/>
      <protection/>
    </xf>
    <xf numFmtId="49" fontId="7" fillId="0" borderId="1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7" fillId="0" borderId="16" xfId="44" applyNumberFormat="1" applyFont="1" applyFill="1" applyBorder="1" applyAlignment="1">
      <alignment horizontal="right"/>
      <protection/>
    </xf>
    <xf numFmtId="0" fontId="6" fillId="0" borderId="12" xfId="44" applyFont="1" applyFill="1" applyBorder="1">
      <alignment/>
      <protection/>
    </xf>
    <xf numFmtId="0" fontId="10" fillId="0" borderId="19" xfId="42" applyFont="1" applyFill="1" applyBorder="1" applyAlignment="1">
      <alignment horizontal="center"/>
      <protection/>
    </xf>
    <xf numFmtId="168" fontId="10" fillId="0" borderId="19" xfId="60" applyNumberFormat="1" applyFont="1" applyFill="1" applyBorder="1" applyAlignment="1">
      <alignment/>
    </xf>
    <xf numFmtId="169" fontId="10" fillId="0" borderId="19" xfId="60" applyNumberFormat="1" applyFont="1" applyFill="1" applyBorder="1" applyAlignment="1">
      <alignment/>
    </xf>
    <xf numFmtId="169" fontId="7" fillId="0" borderId="10" xfId="60" applyNumberFormat="1" applyFont="1" applyFill="1" applyBorder="1" applyAlignment="1">
      <alignment horizontal="center" vertical="center" wrapText="1"/>
    </xf>
    <xf numFmtId="0" fontId="12" fillId="0" borderId="10" xfId="42" applyFont="1" applyFill="1" applyBorder="1">
      <alignment/>
      <protection/>
    </xf>
    <xf numFmtId="0" fontId="15" fillId="0" borderId="10" xfId="42" applyFont="1" applyFill="1" applyBorder="1" applyAlignment="1">
      <alignment wrapText="1"/>
      <protection/>
    </xf>
    <xf numFmtId="0" fontId="12" fillId="0" borderId="14" xfId="42" applyFont="1" applyFill="1" applyBorder="1">
      <alignment/>
      <protection/>
    </xf>
    <xf numFmtId="0" fontId="15" fillId="0" borderId="14" xfId="42" applyFont="1" applyFill="1" applyBorder="1" applyAlignment="1">
      <alignment wrapText="1"/>
      <protection/>
    </xf>
    <xf numFmtId="0" fontId="9" fillId="0" borderId="12" xfId="42" applyFont="1" applyFill="1" applyBorder="1" applyAlignment="1">
      <alignment horizontal="center"/>
      <protection/>
    </xf>
    <xf numFmtId="0" fontId="9" fillId="0" borderId="12" xfId="42" applyFont="1" applyFill="1" applyBorder="1">
      <alignment/>
      <protection/>
    </xf>
    <xf numFmtId="0" fontId="9" fillId="0" borderId="10" xfId="42" applyFont="1" applyFill="1" applyBorder="1" applyAlignment="1">
      <alignment horizontal="center"/>
      <protection/>
    </xf>
    <xf numFmtId="0" fontId="9" fillId="0" borderId="10" xfId="42" applyFont="1" applyFill="1" applyBorder="1">
      <alignment/>
      <protection/>
    </xf>
    <xf numFmtId="0" fontId="1" fillId="0" borderId="12" xfId="0" applyFont="1" applyFill="1" applyBorder="1" applyAlignment="1">
      <alignment vertical="center"/>
    </xf>
    <xf numFmtId="168" fontId="7" fillId="0" borderId="12" xfId="60" applyNumberFormat="1" applyFont="1" applyFill="1" applyBorder="1" applyAlignment="1">
      <alignment/>
    </xf>
    <xf numFmtId="0" fontId="7" fillId="0" borderId="13" xfId="42" applyFont="1" applyFill="1" applyBorder="1">
      <alignment/>
      <protection/>
    </xf>
    <xf numFmtId="0" fontId="7" fillId="0" borderId="0" xfId="42" applyFont="1" applyFill="1">
      <alignment/>
      <protection/>
    </xf>
    <xf numFmtId="168" fontId="6" fillId="0" borderId="10" xfId="60" applyNumberFormat="1" applyFont="1" applyFill="1" applyBorder="1" applyAlignment="1">
      <alignment/>
    </xf>
    <xf numFmtId="0" fontId="7" fillId="0" borderId="10" xfId="42" applyFont="1" applyFill="1" applyBorder="1">
      <alignment/>
      <protection/>
    </xf>
    <xf numFmtId="168" fontId="7" fillId="0" borderId="10" xfId="60" applyNumberFormat="1" applyFont="1" applyFill="1" applyBorder="1" applyAlignment="1">
      <alignment/>
    </xf>
    <xf numFmtId="169" fontId="7" fillId="0" borderId="10" xfId="60" applyNumberFormat="1" applyFont="1" applyFill="1" applyBorder="1" applyAlignment="1">
      <alignment/>
    </xf>
    <xf numFmtId="169" fontId="7" fillId="0" borderId="19" xfId="60" applyNumberFormat="1" applyFont="1" applyFill="1" applyBorder="1" applyAlignment="1">
      <alignment/>
    </xf>
    <xf numFmtId="0" fontId="7" fillId="0" borderId="14" xfId="42" applyFont="1" applyFill="1" applyBorder="1">
      <alignment/>
      <protection/>
    </xf>
    <xf numFmtId="0" fontId="11" fillId="0" borderId="14" xfId="42" applyFont="1" applyFill="1" applyBorder="1" applyAlignment="1">
      <alignment wrapText="1"/>
      <protection/>
    </xf>
    <xf numFmtId="168" fontId="7" fillId="0" borderId="14" xfId="60" applyNumberFormat="1" applyFont="1" applyFill="1" applyBorder="1" applyAlignment="1">
      <alignment/>
    </xf>
    <xf numFmtId="0" fontId="27" fillId="0" borderId="10" xfId="42" applyFont="1" applyFill="1" applyBorder="1" applyAlignment="1">
      <alignment wrapText="1"/>
      <protection/>
    </xf>
    <xf numFmtId="0" fontId="27" fillId="0" borderId="10" xfId="44" applyFont="1" applyFill="1" applyBorder="1" applyAlignment="1">
      <alignment wrapText="1"/>
      <protection/>
    </xf>
    <xf numFmtId="0" fontId="9" fillId="0" borderId="10" xfId="42" applyFont="1" applyFill="1" applyBorder="1" applyAlignment="1">
      <alignment wrapText="1"/>
      <protection/>
    </xf>
    <xf numFmtId="168" fontId="7" fillId="0" borderId="10" xfId="55" applyNumberFormat="1" applyFont="1" applyFill="1" applyBorder="1" applyAlignment="1">
      <alignment horizontal="right"/>
    </xf>
    <xf numFmtId="168" fontId="6" fillId="0" borderId="10" xfId="55" applyNumberFormat="1" applyFont="1" applyFill="1" applyBorder="1" applyAlignment="1">
      <alignment horizontal="right"/>
    </xf>
    <xf numFmtId="168" fontId="7" fillId="0" borderId="14" xfId="55" applyNumberFormat="1" applyFont="1" applyFill="1" applyBorder="1" applyAlignment="1">
      <alignment horizontal="right"/>
    </xf>
    <xf numFmtId="0" fontId="13" fillId="0" borderId="10" xfId="42" applyFont="1" applyFill="1" applyBorder="1" applyAlignment="1">
      <alignment horizontal="center"/>
      <protection/>
    </xf>
    <xf numFmtId="0" fontId="13" fillId="0" borderId="10" xfId="42" applyFont="1" applyFill="1" applyBorder="1">
      <alignment/>
      <protection/>
    </xf>
    <xf numFmtId="0" fontId="27" fillId="0" borderId="14" xfId="42" applyFont="1" applyFill="1" applyBorder="1" applyAlignment="1">
      <alignment wrapText="1"/>
      <protection/>
    </xf>
    <xf numFmtId="168" fontId="9" fillId="0" borderId="10" xfId="55" applyNumberFormat="1" applyFont="1" applyFill="1" applyBorder="1" applyAlignment="1">
      <alignment/>
    </xf>
    <xf numFmtId="168" fontId="10" fillId="0" borderId="10" xfId="55" applyNumberFormat="1" applyFont="1" applyFill="1" applyBorder="1" applyAlignment="1">
      <alignment/>
    </xf>
    <xf numFmtId="168" fontId="10" fillId="0" borderId="14" xfId="55" applyNumberFormat="1" applyFont="1" applyFill="1" applyBorder="1" applyAlignment="1">
      <alignment/>
    </xf>
    <xf numFmtId="0" fontId="10" fillId="0" borderId="14" xfId="42" applyFont="1" applyFill="1" applyBorder="1">
      <alignment/>
      <protection/>
    </xf>
    <xf numFmtId="168" fontId="10" fillId="0" borderId="12" xfId="55" applyNumberFormat="1" applyFont="1" applyFill="1" applyBorder="1" applyAlignment="1">
      <alignment/>
    </xf>
    <xf numFmtId="168" fontId="10" fillId="0" borderId="12" xfId="55" applyNumberFormat="1" applyFont="1" applyFill="1" applyBorder="1" applyAlignment="1">
      <alignment horizontal="right"/>
    </xf>
    <xf numFmtId="168" fontId="10" fillId="0" borderId="13" xfId="55" applyNumberFormat="1" applyFont="1" applyFill="1" applyBorder="1" applyAlignment="1">
      <alignment horizontal="right"/>
    </xf>
    <xf numFmtId="168" fontId="9" fillId="0" borderId="10" xfId="55" applyNumberFormat="1" applyFont="1" applyFill="1" applyBorder="1" applyAlignment="1">
      <alignment horizontal="right"/>
    </xf>
    <xf numFmtId="168" fontId="10" fillId="0" borderId="10" xfId="55" applyNumberFormat="1" applyFont="1" applyFill="1" applyBorder="1" applyAlignment="1">
      <alignment horizontal="right"/>
    </xf>
    <xf numFmtId="168" fontId="10" fillId="0" borderId="19" xfId="55" applyNumberFormat="1" applyFont="1" applyFill="1" applyBorder="1" applyAlignment="1">
      <alignment horizontal="right"/>
    </xf>
    <xf numFmtId="168" fontId="10" fillId="0" borderId="10" xfId="55" applyNumberFormat="1" applyFont="1" applyFill="1" applyBorder="1" applyAlignment="1">
      <alignment horizontal="right" vertical="center" wrapText="1"/>
    </xf>
    <xf numFmtId="168" fontId="10" fillId="0" borderId="14" xfId="55" applyNumberFormat="1" applyFont="1" applyFill="1" applyBorder="1" applyAlignment="1">
      <alignment horizontal="right"/>
    </xf>
    <xf numFmtId="0" fontId="10" fillId="0" borderId="14" xfId="42" applyFont="1" applyFill="1" applyBorder="1" applyAlignment="1">
      <alignment horizontal="center"/>
      <protection/>
    </xf>
    <xf numFmtId="169" fontId="7" fillId="0" borderId="14" xfId="60" applyNumberFormat="1" applyFont="1" applyFill="1" applyBorder="1" applyAlignment="1">
      <alignment horizontal="center" vertical="center" wrapText="1"/>
    </xf>
    <xf numFmtId="168" fontId="10" fillId="0" borderId="12" xfId="60" applyNumberFormat="1" applyFont="1" applyFill="1" applyBorder="1" applyAlignment="1">
      <alignment horizontal="right"/>
    </xf>
    <xf numFmtId="0" fontId="15" fillId="0" borderId="10" xfId="42" applyFont="1" applyFill="1" applyBorder="1">
      <alignment/>
      <protection/>
    </xf>
    <xf numFmtId="168" fontId="26" fillId="0" borderId="19" xfId="55" applyNumberFormat="1" applyFont="1" applyFill="1" applyBorder="1" applyAlignment="1">
      <alignment/>
    </xf>
    <xf numFmtId="0" fontId="11" fillId="0" borderId="10" xfId="44" applyFont="1" applyFill="1" applyBorder="1">
      <alignment/>
      <protection/>
    </xf>
    <xf numFmtId="0" fontId="11" fillId="0" borderId="0" xfId="44" applyFont="1" applyFill="1">
      <alignment/>
      <protection/>
    </xf>
    <xf numFmtId="172" fontId="7" fillId="0" borderId="10" xfId="44" applyNumberFormat="1" applyFont="1" applyFill="1" applyBorder="1">
      <alignment/>
      <protection/>
    </xf>
    <xf numFmtId="169" fontId="15" fillId="0" borderId="10" xfId="60" applyNumberFormat="1" applyFont="1" applyFill="1" applyBorder="1" applyAlignment="1">
      <alignment wrapText="1"/>
    </xf>
    <xf numFmtId="2" fontId="7" fillId="0" borderId="18" xfId="44" applyNumberFormat="1" applyFont="1" applyFill="1" applyBorder="1" applyAlignment="1">
      <alignment horizontal="center"/>
      <protection/>
    </xf>
    <xf numFmtId="2" fontId="7" fillId="0" borderId="18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2" fontId="7" fillId="0" borderId="16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/>
    </xf>
    <xf numFmtId="0" fontId="20" fillId="0" borderId="17" xfId="44" applyFont="1" applyFill="1" applyBorder="1" applyAlignment="1">
      <alignment wrapText="1"/>
      <protection/>
    </xf>
    <xf numFmtId="0" fontId="13" fillId="0" borderId="20" xfId="44" applyFont="1" applyFill="1" applyBorder="1">
      <alignment/>
      <protection/>
    </xf>
    <xf numFmtId="168" fontId="7" fillId="0" borderId="14" xfId="55" applyNumberFormat="1" applyFont="1" applyFill="1" applyBorder="1" applyAlignment="1">
      <alignment/>
    </xf>
    <xf numFmtId="168" fontId="11" fillId="0" borderId="14" xfId="55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168" fontId="26" fillId="0" borderId="10" xfId="60" applyNumberFormat="1" applyFont="1" applyFill="1" applyBorder="1" applyAlignment="1">
      <alignment/>
    </xf>
    <xf numFmtId="168" fontId="26" fillId="0" borderId="10" xfId="55" applyNumberFormat="1" applyFont="1" applyFill="1" applyBorder="1" applyAlignment="1">
      <alignment/>
    </xf>
    <xf numFmtId="168" fontId="26" fillId="0" borderId="19" xfId="60" applyNumberFormat="1" applyFont="1" applyFill="1" applyBorder="1" applyAlignment="1">
      <alignment/>
    </xf>
    <xf numFmtId="43" fontId="15" fillId="0" borderId="10" xfId="42" applyNumberFormat="1" applyFont="1" applyFill="1" applyBorder="1">
      <alignment/>
      <protection/>
    </xf>
    <xf numFmtId="168" fontId="26" fillId="0" borderId="10" xfId="55" applyNumberFormat="1" applyFont="1" applyFill="1" applyBorder="1" applyAlignment="1">
      <alignment horizontal="right"/>
    </xf>
    <xf numFmtId="43" fontId="26" fillId="0" borderId="10" xfId="42" applyNumberFormat="1" applyFont="1" applyFill="1" applyBorder="1">
      <alignment/>
      <protection/>
    </xf>
    <xf numFmtId="0" fontId="26" fillId="0" borderId="10" xfId="42" applyFont="1" applyFill="1" applyBorder="1">
      <alignment/>
      <protection/>
    </xf>
    <xf numFmtId="168" fontId="26" fillId="0" borderId="14" xfId="60" applyNumberFormat="1" applyFont="1" applyFill="1" applyBorder="1" applyAlignment="1">
      <alignment/>
    </xf>
    <xf numFmtId="168" fontId="11" fillId="0" borderId="10" xfId="60" applyNumberFormat="1" applyFont="1" applyFill="1" applyBorder="1" applyAlignment="1">
      <alignment/>
    </xf>
    <xf numFmtId="168" fontId="11" fillId="0" borderId="10" xfId="42" applyNumberFormat="1" applyFont="1" applyFill="1" applyBorder="1">
      <alignment/>
      <protection/>
    </xf>
    <xf numFmtId="168" fontId="26" fillId="0" borderId="14" xfId="55" applyNumberFormat="1" applyFont="1" applyFill="1" applyBorder="1" applyAlignment="1">
      <alignment horizontal="right"/>
    </xf>
    <xf numFmtId="168" fontId="11" fillId="0" borderId="19" xfId="60" applyNumberFormat="1" applyFont="1" applyFill="1" applyBorder="1" applyAlignment="1">
      <alignment/>
    </xf>
    <xf numFmtId="168" fontId="26" fillId="0" borderId="19" xfId="55" applyNumberFormat="1" applyFont="1" applyFill="1" applyBorder="1" applyAlignment="1">
      <alignment horizontal="right"/>
    </xf>
    <xf numFmtId="0" fontId="9" fillId="0" borderId="10" xfId="44" applyFont="1" applyFill="1" applyBorder="1" applyAlignment="1">
      <alignment wrapText="1"/>
      <protection/>
    </xf>
    <xf numFmtId="0" fontId="10" fillId="0" borderId="10" xfId="44" applyFont="1" applyFill="1" applyBorder="1">
      <alignment/>
      <protection/>
    </xf>
    <xf numFmtId="0" fontId="12" fillId="0" borderId="10" xfId="42" applyFont="1" applyBorder="1">
      <alignment/>
      <protection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179" fontId="10" fillId="0" borderId="13" xfId="0" applyNumberFormat="1" applyFont="1" applyFill="1" applyBorder="1" applyAlignment="1">
      <alignment horizontal="right" vertical="center" wrapText="1"/>
    </xf>
    <xf numFmtId="0" fontId="9" fillId="0" borderId="16" xfId="42" applyFont="1" applyFill="1" applyBorder="1" applyAlignment="1">
      <alignment horizontal="center"/>
      <protection/>
    </xf>
    <xf numFmtId="0" fontId="9" fillId="0" borderId="16" xfId="42" applyFont="1" applyFill="1" applyBorder="1">
      <alignment/>
      <protection/>
    </xf>
    <xf numFmtId="169" fontId="7" fillId="0" borderId="0" xfId="0" applyNumberFormat="1" applyFont="1" applyFill="1" applyAlignment="1">
      <alignment horizontal="center"/>
    </xf>
    <xf numFmtId="172" fontId="6" fillId="0" borderId="10" xfId="42" applyNumberFormat="1" applyFont="1" applyFill="1" applyBorder="1">
      <alignment/>
      <protection/>
    </xf>
    <xf numFmtId="172" fontId="3" fillId="0" borderId="10" xfId="42" applyNumberFormat="1" applyFont="1" applyFill="1" applyBorder="1">
      <alignment/>
      <protection/>
    </xf>
    <xf numFmtId="0" fontId="12" fillId="0" borderId="14" xfId="42" applyFont="1" applyBorder="1">
      <alignment/>
      <protection/>
    </xf>
    <xf numFmtId="0" fontId="10" fillId="0" borderId="14" xfId="44" applyFont="1" applyFill="1" applyBorder="1">
      <alignment/>
      <protection/>
    </xf>
    <xf numFmtId="0" fontId="9" fillId="0" borderId="10" xfId="42" applyFont="1" applyFill="1" applyBorder="1" applyAlignment="1">
      <alignment vertical="top" wrapText="1"/>
      <protection/>
    </xf>
    <xf numFmtId="169" fontId="11" fillId="0" borderId="10" xfId="60" applyNumberFormat="1" applyFont="1" applyFill="1" applyBorder="1" applyAlignment="1">
      <alignment horizontal="left" vertical="center" wrapText="1"/>
    </xf>
    <xf numFmtId="168" fontId="6" fillId="0" borderId="12" xfId="55" applyNumberFormat="1" applyFont="1" applyFill="1" applyBorder="1" applyAlignment="1">
      <alignment/>
    </xf>
    <xf numFmtId="172" fontId="7" fillId="0" borderId="14" xfId="44" applyNumberFormat="1" applyFont="1" applyFill="1" applyBorder="1">
      <alignment/>
      <protection/>
    </xf>
    <xf numFmtId="168" fontId="6" fillId="0" borderId="10" xfId="44" applyNumberFormat="1" applyFont="1" applyFill="1" applyBorder="1">
      <alignment/>
      <protection/>
    </xf>
    <xf numFmtId="0" fontId="13" fillId="0" borderId="19" xfId="42" applyFont="1" applyFill="1" applyBorder="1">
      <alignment/>
      <protection/>
    </xf>
    <xf numFmtId="0" fontId="27" fillId="0" borderId="19" xfId="42" applyFont="1" applyFill="1" applyBorder="1" applyAlignment="1">
      <alignment wrapText="1"/>
      <protection/>
    </xf>
    <xf numFmtId="168" fontId="25" fillId="0" borderId="10" xfId="55" applyNumberFormat="1" applyFont="1" applyFill="1" applyBorder="1" applyAlignment="1">
      <alignment/>
    </xf>
    <xf numFmtId="168" fontId="10" fillId="0" borderId="0" xfId="42" applyNumberFormat="1" applyFont="1">
      <alignment/>
      <protection/>
    </xf>
    <xf numFmtId="0" fontId="35" fillId="0" borderId="17" xfId="44" applyFont="1" applyFill="1" applyBorder="1">
      <alignment/>
      <protection/>
    </xf>
    <xf numFmtId="179" fontId="10" fillId="0" borderId="16" xfId="0" applyNumberFormat="1" applyFont="1" applyFill="1" applyBorder="1" applyAlignment="1">
      <alignment horizontal="right" vertical="center" wrapText="1"/>
    </xf>
    <xf numFmtId="169" fontId="15" fillId="0" borderId="10" xfId="60" applyNumberFormat="1" applyFont="1" applyFill="1" applyBorder="1" applyAlignment="1">
      <alignment horizontal="left" vertical="center" wrapText="1"/>
    </xf>
    <xf numFmtId="0" fontId="16" fillId="0" borderId="21" xfId="44" applyFont="1" applyFill="1" applyBorder="1" applyAlignment="1">
      <alignment horizontal="center" vertical="center" wrapText="1"/>
      <protection/>
    </xf>
    <xf numFmtId="49" fontId="70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9" fontId="6" fillId="0" borderId="22" xfId="6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right" vertical="center" wrapText="1"/>
    </xf>
    <xf numFmtId="0" fontId="11" fillId="0" borderId="0" xfId="42" applyFont="1" applyFill="1" applyBorder="1" applyAlignment="1">
      <alignment horizontal="center"/>
      <protection/>
    </xf>
    <xf numFmtId="0" fontId="11" fillId="0" borderId="0" xfId="42" applyFont="1" applyFill="1" applyAlignment="1">
      <alignment/>
      <protection/>
    </xf>
    <xf numFmtId="0" fontId="11" fillId="0" borderId="16" xfId="42" applyFont="1" applyFill="1" applyBorder="1" applyAlignment="1">
      <alignment/>
      <protection/>
    </xf>
    <xf numFmtId="179" fontId="0" fillId="0" borderId="0" xfId="0" applyNumberFormat="1" applyFill="1" applyAlignment="1">
      <alignment/>
    </xf>
    <xf numFmtId="43" fontId="15" fillId="0" borderId="10" xfId="55" applyFont="1" applyFill="1" applyBorder="1" applyAlignment="1">
      <alignment/>
    </xf>
    <xf numFmtId="43" fontId="26" fillId="0" borderId="10" xfId="55" applyFont="1" applyFill="1" applyBorder="1" applyAlignment="1">
      <alignment/>
    </xf>
    <xf numFmtId="2" fontId="7" fillId="0" borderId="16" xfId="44" applyNumberFormat="1" applyFont="1" applyFill="1" applyBorder="1" applyAlignment="1">
      <alignment horizontal="center"/>
      <protection/>
    </xf>
    <xf numFmtId="2" fontId="7" fillId="0" borderId="16" xfId="0" applyNumberFormat="1" applyFont="1" applyFill="1" applyBorder="1" applyAlignment="1">
      <alignment horizontal="center" vertical="center" wrapText="1"/>
    </xf>
    <xf numFmtId="172" fontId="12" fillId="0" borderId="0" xfId="44" applyNumberFormat="1" applyFont="1" applyFill="1" applyAlignment="1">
      <alignment horizontal="right"/>
      <protection/>
    </xf>
    <xf numFmtId="0" fontId="11" fillId="0" borderId="12" xfId="42" applyFont="1" applyFill="1" applyBorder="1" applyAlignment="1">
      <alignment/>
      <protection/>
    </xf>
    <xf numFmtId="2" fontId="1" fillId="0" borderId="0" xfId="0" applyNumberFormat="1" applyFont="1" applyAlignment="1">
      <alignment/>
    </xf>
    <xf numFmtId="169" fontId="36" fillId="0" borderId="10" xfId="60" applyNumberFormat="1" applyFont="1" applyFill="1" applyBorder="1" applyAlignment="1">
      <alignment wrapText="1"/>
    </xf>
    <xf numFmtId="0" fontId="0" fillId="34" borderId="0" xfId="0" applyFill="1" applyAlignment="1">
      <alignment/>
    </xf>
    <xf numFmtId="0" fontId="1" fillId="35" borderId="16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/>
    </xf>
    <xf numFmtId="168" fontId="1" fillId="35" borderId="16" xfId="55" applyNumberFormat="1" applyFont="1" applyFill="1" applyBorder="1" applyAlignment="1">
      <alignment horizontal="right" wrapText="1"/>
    </xf>
    <xf numFmtId="168" fontId="70" fillId="35" borderId="16" xfId="55" applyNumberFormat="1" applyFont="1" applyFill="1" applyBorder="1" applyAlignment="1">
      <alignment horizontal="right" wrapText="1"/>
    </xf>
    <xf numFmtId="43" fontId="1" fillId="35" borderId="16" xfId="55" applyFont="1" applyFill="1" applyBorder="1" applyAlignment="1">
      <alignment horizontal="right" wrapText="1"/>
    </xf>
    <xf numFmtId="0" fontId="7" fillId="35" borderId="16" xfId="0" applyFont="1" applyFill="1" applyBorder="1" applyAlignment="1">
      <alignment horizontal="right"/>
    </xf>
    <xf numFmtId="43" fontId="7" fillId="35" borderId="16" xfId="55" applyFont="1" applyFill="1" applyBorder="1" applyAlignment="1">
      <alignment wrapText="1"/>
    </xf>
    <xf numFmtId="0" fontId="0" fillId="35" borderId="16" xfId="0" applyFill="1" applyBorder="1" applyAlignment="1">
      <alignment/>
    </xf>
    <xf numFmtId="43" fontId="7" fillId="35" borderId="16" xfId="55" applyFont="1" applyFill="1" applyBorder="1" applyAlignment="1">
      <alignment/>
    </xf>
    <xf numFmtId="43" fontId="0" fillId="35" borderId="16" xfId="0" applyNumberFormat="1" applyFill="1" applyBorder="1" applyAlignment="1">
      <alignment/>
    </xf>
    <xf numFmtId="43" fontId="7" fillId="35" borderId="16" xfId="55" applyNumberFormat="1" applyFont="1" applyFill="1" applyBorder="1" applyAlignment="1">
      <alignment/>
    </xf>
    <xf numFmtId="168" fontId="7" fillId="35" borderId="16" xfId="55" applyNumberFormat="1" applyFont="1" applyFill="1" applyBorder="1" applyAlignment="1">
      <alignment/>
    </xf>
    <xf numFmtId="43" fontId="1" fillId="35" borderId="16" xfId="55" applyFont="1" applyFill="1" applyBorder="1" applyAlignment="1">
      <alignment/>
    </xf>
    <xf numFmtId="168" fontId="0" fillId="35" borderId="16" xfId="55" applyNumberFormat="1" applyFont="1" applyFill="1" applyBorder="1" applyAlignment="1">
      <alignment/>
    </xf>
    <xf numFmtId="168" fontId="10" fillId="35" borderId="23" xfId="55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43" fontId="0" fillId="35" borderId="0" xfId="0" applyNumberFormat="1" applyFill="1" applyAlignment="1">
      <alignment/>
    </xf>
    <xf numFmtId="43" fontId="5" fillId="35" borderId="0" xfId="0" applyNumberFormat="1" applyFont="1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169" fontId="0" fillId="35" borderId="0" xfId="0" applyNumberFormat="1" applyFill="1" applyAlignment="1">
      <alignment/>
    </xf>
    <xf numFmtId="43" fontId="0" fillId="35" borderId="0" xfId="55" applyFont="1" applyFill="1" applyAlignment="1">
      <alignment/>
    </xf>
    <xf numFmtId="168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25" fillId="35" borderId="10" xfId="0" applyFont="1" applyFill="1" applyBorder="1" applyAlignment="1">
      <alignment horizontal="left"/>
    </xf>
    <xf numFmtId="168" fontId="0" fillId="35" borderId="0" xfId="55" applyNumberFormat="1" applyFont="1" applyFill="1" applyAlignment="1">
      <alignment/>
    </xf>
    <xf numFmtId="0" fontId="1" fillId="35" borderId="16" xfId="0" applyFont="1" applyFill="1" applyBorder="1" applyAlignment="1">
      <alignment horizontal="center"/>
    </xf>
    <xf numFmtId="43" fontId="0" fillId="35" borderId="16" xfId="55" applyFont="1" applyFill="1" applyBorder="1" applyAlignment="1">
      <alignment/>
    </xf>
    <xf numFmtId="43" fontId="25" fillId="35" borderId="10" xfId="55" applyFont="1" applyFill="1" applyBorder="1" applyAlignment="1">
      <alignment horizontal="left"/>
    </xf>
    <xf numFmtId="43" fontId="7" fillId="35" borderId="16" xfId="55" applyFont="1" applyFill="1" applyBorder="1" applyAlignment="1">
      <alignment horizontal="center" wrapText="1"/>
    </xf>
    <xf numFmtId="43" fontId="7" fillId="35" borderId="10" xfId="55" applyNumberFormat="1" applyFont="1" applyFill="1" applyBorder="1" applyAlignment="1">
      <alignment horizontal="right"/>
    </xf>
    <xf numFmtId="43" fontId="7" fillId="35" borderId="10" xfId="55" applyFont="1" applyFill="1" applyBorder="1" applyAlignment="1">
      <alignment horizontal="right"/>
    </xf>
    <xf numFmtId="43" fontId="7" fillId="35" borderId="10" xfId="55" applyNumberFormat="1" applyFont="1" applyFill="1" applyBorder="1" applyAlignment="1">
      <alignment horizontal="left"/>
    </xf>
    <xf numFmtId="181" fontId="7" fillId="35" borderId="10" xfId="55" applyNumberFormat="1" applyFont="1" applyFill="1" applyBorder="1" applyAlignment="1">
      <alignment horizontal="left"/>
    </xf>
    <xf numFmtId="43" fontId="7" fillId="35" borderId="10" xfId="55" applyFont="1" applyFill="1" applyBorder="1" applyAlignment="1">
      <alignment horizontal="left"/>
    </xf>
    <xf numFmtId="43" fontId="7" fillId="35" borderId="10" xfId="55" applyFont="1" applyFill="1" applyBorder="1" applyAlignment="1">
      <alignment/>
    </xf>
    <xf numFmtId="43" fontId="7" fillId="35" borderId="10" xfId="0" applyNumberFormat="1" applyFont="1" applyFill="1" applyBorder="1" applyAlignment="1">
      <alignment horizontal="left"/>
    </xf>
    <xf numFmtId="0" fontId="7" fillId="35" borderId="16" xfId="0" applyFont="1" applyFill="1" applyBorder="1" applyAlignment="1">
      <alignment horizontal="right" wrapText="1"/>
    </xf>
    <xf numFmtId="0" fontId="37" fillId="35" borderId="10" xfId="0" applyFont="1" applyFill="1" applyBorder="1" applyAlignment="1">
      <alignment horizontal="left"/>
    </xf>
    <xf numFmtId="43" fontId="7" fillId="35" borderId="16" xfId="55" applyFont="1" applyFill="1" applyBorder="1" applyAlignment="1">
      <alignment horizontal="right" wrapText="1"/>
    </xf>
    <xf numFmtId="0" fontId="5" fillId="35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168" fontId="5" fillId="35" borderId="16" xfId="55" applyNumberFormat="1" applyFont="1" applyFill="1" applyBorder="1" applyAlignment="1">
      <alignment horizontal="right" wrapText="1"/>
    </xf>
    <xf numFmtId="168" fontId="71" fillId="35" borderId="16" xfId="55" applyNumberFormat="1" applyFont="1" applyFill="1" applyBorder="1" applyAlignment="1">
      <alignment horizontal="right" wrapText="1"/>
    </xf>
    <xf numFmtId="43" fontId="5" fillId="35" borderId="16" xfId="55" applyFont="1" applyFill="1" applyBorder="1" applyAlignment="1">
      <alignment horizontal="right" wrapText="1"/>
    </xf>
    <xf numFmtId="0" fontId="6" fillId="35" borderId="16" xfId="0" applyFont="1" applyFill="1" applyBorder="1" applyAlignment="1">
      <alignment horizontal="right"/>
    </xf>
    <xf numFmtId="43" fontId="6" fillId="35" borderId="16" xfId="55" applyFont="1" applyFill="1" applyBorder="1" applyAlignment="1">
      <alignment wrapText="1"/>
    </xf>
    <xf numFmtId="43" fontId="5" fillId="35" borderId="16" xfId="55" applyFont="1" applyFill="1" applyBorder="1" applyAlignment="1">
      <alignment/>
    </xf>
    <xf numFmtId="43" fontId="6" fillId="35" borderId="16" xfId="55" applyNumberFormat="1" applyFont="1" applyFill="1" applyBorder="1" applyAlignment="1">
      <alignment/>
    </xf>
    <xf numFmtId="43" fontId="5" fillId="35" borderId="16" xfId="0" applyNumberFormat="1" applyFont="1" applyFill="1" applyBorder="1" applyAlignment="1">
      <alignment/>
    </xf>
    <xf numFmtId="168" fontId="6" fillId="35" borderId="16" xfId="55" applyNumberFormat="1" applyFont="1" applyFill="1" applyBorder="1" applyAlignment="1">
      <alignment/>
    </xf>
    <xf numFmtId="168" fontId="5" fillId="35" borderId="16" xfId="55" applyNumberFormat="1" applyFont="1" applyFill="1" applyBorder="1" applyAlignment="1">
      <alignment/>
    </xf>
    <xf numFmtId="0" fontId="5" fillId="35" borderId="0" xfId="0" applyFont="1" applyFill="1" applyAlignment="1">
      <alignment/>
    </xf>
    <xf numFmtId="169" fontId="5" fillId="35" borderId="0" xfId="55" applyNumberFormat="1" applyFont="1" applyFill="1" applyAlignment="1">
      <alignment/>
    </xf>
    <xf numFmtId="43" fontId="6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6" fillId="35" borderId="10" xfId="0" applyFont="1" applyFill="1" applyBorder="1" applyAlignment="1">
      <alignment/>
    </xf>
    <xf numFmtId="169" fontId="6" fillId="35" borderId="0" xfId="0" applyNumberFormat="1" applyFont="1" applyFill="1" applyAlignment="1">
      <alignment/>
    </xf>
    <xf numFmtId="43" fontId="6" fillId="35" borderId="0" xfId="55" applyFont="1" applyFill="1" applyAlignment="1">
      <alignment/>
    </xf>
    <xf numFmtId="0" fontId="7" fillId="35" borderId="10" xfId="0" applyFont="1" applyFill="1" applyBorder="1" applyAlignment="1">
      <alignment horizontal="left"/>
    </xf>
    <xf numFmtId="0" fontId="10" fillId="0" borderId="19" xfId="42" applyFont="1" applyFill="1" applyBorder="1">
      <alignment/>
      <protection/>
    </xf>
    <xf numFmtId="0" fontId="10" fillId="35" borderId="10" xfId="42" applyFont="1" applyFill="1" applyBorder="1">
      <alignment/>
      <protection/>
    </xf>
    <xf numFmtId="0" fontId="27" fillId="35" borderId="10" xfId="42" applyFont="1" applyFill="1" applyBorder="1" applyAlignment="1">
      <alignment wrapText="1"/>
      <protection/>
    </xf>
    <xf numFmtId="168" fontId="26" fillId="35" borderId="10" xfId="60" applyNumberFormat="1" applyFont="1" applyFill="1" applyBorder="1" applyAlignment="1">
      <alignment/>
    </xf>
    <xf numFmtId="0" fontId="15" fillId="35" borderId="10" xfId="42" applyFont="1" applyFill="1" applyBorder="1">
      <alignment/>
      <protection/>
    </xf>
    <xf numFmtId="0" fontId="12" fillId="35" borderId="10" xfId="42" applyFont="1" applyFill="1" applyBorder="1">
      <alignment/>
      <protection/>
    </xf>
    <xf numFmtId="0" fontId="12" fillId="35" borderId="0" xfId="42" applyFont="1" applyFill="1">
      <alignment/>
      <protection/>
    </xf>
    <xf numFmtId="0" fontId="10" fillId="35" borderId="19" xfId="42" applyFont="1" applyFill="1" applyBorder="1">
      <alignment/>
      <protection/>
    </xf>
    <xf numFmtId="0" fontId="10" fillId="35" borderId="14" xfId="42" applyFont="1" applyFill="1" applyBorder="1">
      <alignment/>
      <protection/>
    </xf>
    <xf numFmtId="0" fontId="27" fillId="35" borderId="14" xfId="42" applyFont="1" applyFill="1" applyBorder="1" applyAlignment="1">
      <alignment wrapText="1"/>
      <protection/>
    </xf>
    <xf numFmtId="168" fontId="26" fillId="35" borderId="14" xfId="60" applyNumberFormat="1" applyFont="1" applyFill="1" applyBorder="1" applyAlignment="1">
      <alignment/>
    </xf>
    <xf numFmtId="0" fontId="12" fillId="35" borderId="14" xfId="42" applyFont="1" applyFill="1" applyBorder="1">
      <alignment/>
      <protection/>
    </xf>
    <xf numFmtId="43" fontId="7" fillId="35" borderId="16" xfId="55" applyFont="1" applyFill="1" applyBorder="1" applyAlignment="1">
      <alignment horizontal="right"/>
    </xf>
    <xf numFmtId="0" fontId="7" fillId="35" borderId="16" xfId="0" applyFont="1" applyFill="1" applyBorder="1" applyAlignment="1">
      <alignment horizontal="center"/>
    </xf>
    <xf numFmtId="0" fontId="7" fillId="35" borderId="16" xfId="0" applyFont="1" applyFill="1" applyBorder="1" applyAlignment="1">
      <alignment/>
    </xf>
    <xf numFmtId="168" fontId="7" fillId="35" borderId="16" xfId="55" applyNumberFormat="1" applyFont="1" applyFill="1" applyBorder="1" applyAlignment="1">
      <alignment horizontal="right" wrapText="1"/>
    </xf>
    <xf numFmtId="43" fontId="7" fillId="35" borderId="16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43" fontId="7" fillId="35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169" fontId="7" fillId="35" borderId="0" xfId="0" applyNumberFormat="1" applyFont="1" applyFill="1" applyAlignment="1">
      <alignment/>
    </xf>
    <xf numFmtId="43" fontId="7" fillId="35" borderId="0" xfId="55" applyFont="1" applyFill="1" applyAlignment="1">
      <alignment/>
    </xf>
    <xf numFmtId="168" fontId="7" fillId="35" borderId="0" xfId="0" applyNumberFormat="1" applyFont="1" applyFill="1" applyAlignment="1">
      <alignment/>
    </xf>
    <xf numFmtId="172" fontId="7" fillId="35" borderId="0" xfId="0" applyNumberFormat="1" applyFont="1" applyFill="1" applyAlignment="1">
      <alignment/>
    </xf>
    <xf numFmtId="168" fontId="7" fillId="35" borderId="0" xfId="55" applyNumberFormat="1" applyFont="1" applyFill="1" applyAlignment="1">
      <alignment/>
    </xf>
    <xf numFmtId="0" fontId="7" fillId="35" borderId="10" xfId="0" applyFont="1" applyFill="1" applyBorder="1" applyAlignment="1">
      <alignment/>
    </xf>
    <xf numFmtId="183" fontId="72" fillId="35" borderId="16" xfId="0" applyNumberFormat="1" applyFont="1" applyFill="1" applyBorder="1" applyAlignment="1">
      <alignment/>
    </xf>
    <xf numFmtId="2" fontId="72" fillId="35" borderId="16" xfId="0" applyNumberFormat="1" applyFont="1" applyFill="1" applyBorder="1" applyAlignment="1">
      <alignment/>
    </xf>
    <xf numFmtId="184" fontId="72" fillId="35" borderId="16" xfId="0" applyNumberFormat="1" applyFont="1" applyFill="1" applyBorder="1" applyAlignment="1">
      <alignment/>
    </xf>
    <xf numFmtId="168" fontId="6" fillId="35" borderId="10" xfId="55" applyNumberFormat="1" applyFont="1" applyFill="1" applyBorder="1" applyAlignment="1">
      <alignment/>
    </xf>
    <xf numFmtId="168" fontId="9" fillId="35" borderId="23" xfId="55" applyNumberFormat="1" applyFont="1" applyFill="1" applyBorder="1" applyAlignment="1">
      <alignment horizontal="right" vertical="center" wrapText="1"/>
    </xf>
    <xf numFmtId="172" fontId="5" fillId="35" borderId="0" xfId="0" applyNumberFormat="1" applyFont="1" applyFill="1" applyAlignment="1">
      <alignment/>
    </xf>
    <xf numFmtId="168" fontId="5" fillId="35" borderId="12" xfId="55" applyNumberFormat="1" applyFont="1" applyFill="1" applyBorder="1" applyAlignment="1">
      <alignment/>
    </xf>
    <xf numFmtId="43" fontId="70" fillId="35" borderId="16" xfId="0" applyNumberFormat="1" applyFont="1" applyFill="1" applyBorder="1" applyAlignment="1">
      <alignment/>
    </xf>
    <xf numFmtId="43" fontId="53" fillId="35" borderId="16" xfId="55" applyFont="1" applyFill="1" applyBorder="1" applyAlignment="1">
      <alignment/>
    </xf>
    <xf numFmtId="168" fontId="70" fillId="35" borderId="16" xfId="55" applyNumberFormat="1" applyFont="1" applyFill="1" applyBorder="1" applyAlignment="1">
      <alignment/>
    </xf>
    <xf numFmtId="0" fontId="6" fillId="35" borderId="0" xfId="42" applyFont="1" applyFill="1">
      <alignment/>
      <protection/>
    </xf>
    <xf numFmtId="0" fontId="6" fillId="35" borderId="16" xfId="44" applyFont="1" applyFill="1" applyBorder="1" applyAlignment="1">
      <alignment horizontal="center" vertical="center" wrapText="1"/>
      <protection/>
    </xf>
    <xf numFmtId="0" fontId="9" fillId="35" borderId="12" xfId="42" applyFont="1" applyFill="1" applyBorder="1" applyAlignment="1">
      <alignment horizontal="center"/>
      <protection/>
    </xf>
    <xf numFmtId="0" fontId="9" fillId="35" borderId="12" xfId="42" applyFont="1" applyFill="1" applyBorder="1">
      <alignment/>
      <protection/>
    </xf>
    <xf numFmtId="168" fontId="7" fillId="35" borderId="12" xfId="60" applyNumberFormat="1" applyFont="1" applyFill="1" applyBorder="1" applyAlignment="1">
      <alignment/>
    </xf>
    <xf numFmtId="0" fontId="7" fillId="35" borderId="13" xfId="42" applyFont="1" applyFill="1" applyBorder="1">
      <alignment/>
      <protection/>
    </xf>
    <xf numFmtId="0" fontId="10" fillId="35" borderId="0" xfId="42" applyFont="1" applyFill="1">
      <alignment/>
      <protection/>
    </xf>
    <xf numFmtId="0" fontId="9" fillId="35" borderId="10" xfId="42" applyFont="1" applyFill="1" applyBorder="1" applyAlignment="1">
      <alignment horizontal="center"/>
      <protection/>
    </xf>
    <xf numFmtId="0" fontId="9" fillId="35" borderId="10" xfId="42" applyFont="1" applyFill="1" applyBorder="1">
      <alignment/>
      <protection/>
    </xf>
    <xf numFmtId="168" fontId="6" fillId="35" borderId="10" xfId="55" applyNumberFormat="1" applyFont="1" applyFill="1" applyBorder="1" applyAlignment="1">
      <alignment horizontal="right"/>
    </xf>
    <xf numFmtId="172" fontId="7" fillId="35" borderId="10" xfId="42" applyNumberFormat="1" applyFont="1" applyFill="1" applyBorder="1">
      <alignment/>
      <protection/>
    </xf>
    <xf numFmtId="43" fontId="10" fillId="35" borderId="0" xfId="55" applyFont="1" applyFill="1" applyAlignment="1">
      <alignment/>
    </xf>
    <xf numFmtId="0" fontId="7" fillId="35" borderId="10" xfId="42" applyFont="1" applyFill="1" applyBorder="1">
      <alignment/>
      <protection/>
    </xf>
    <xf numFmtId="0" fontId="10" fillId="35" borderId="10" xfId="42" applyFont="1" applyFill="1" applyBorder="1" applyAlignment="1">
      <alignment horizontal="center"/>
      <protection/>
    </xf>
    <xf numFmtId="168" fontId="7" fillId="35" borderId="10" xfId="55" applyNumberFormat="1" applyFont="1" applyFill="1" applyBorder="1" applyAlignment="1">
      <alignment horizontal="right"/>
    </xf>
    <xf numFmtId="169" fontId="7" fillId="35" borderId="10" xfId="60" applyNumberFormat="1" applyFont="1" applyFill="1" applyBorder="1" applyAlignment="1">
      <alignment/>
    </xf>
    <xf numFmtId="0" fontId="10" fillId="35" borderId="19" xfId="42" applyFont="1" applyFill="1" applyBorder="1" applyAlignment="1">
      <alignment horizontal="center"/>
      <protection/>
    </xf>
    <xf numFmtId="0" fontId="27" fillId="35" borderId="10" xfId="44" applyFont="1" applyFill="1" applyBorder="1" applyAlignment="1">
      <alignment wrapText="1"/>
      <protection/>
    </xf>
    <xf numFmtId="168" fontId="7" fillId="35" borderId="19" xfId="55" applyNumberFormat="1" applyFont="1" applyFill="1" applyBorder="1" applyAlignment="1">
      <alignment horizontal="right"/>
    </xf>
    <xf numFmtId="169" fontId="7" fillId="35" borderId="19" xfId="60" applyNumberFormat="1" applyFont="1" applyFill="1" applyBorder="1" applyAlignment="1">
      <alignment/>
    </xf>
    <xf numFmtId="169" fontId="7" fillId="35" borderId="10" xfId="60" applyNumberFormat="1" applyFont="1" applyFill="1" applyBorder="1" applyAlignment="1">
      <alignment horizontal="center" vertical="center" wrapText="1"/>
    </xf>
    <xf numFmtId="0" fontId="27" fillId="35" borderId="10" xfId="42" applyFont="1" applyFill="1" applyBorder="1">
      <alignment/>
      <protection/>
    </xf>
    <xf numFmtId="168" fontId="11" fillId="35" borderId="10" xfId="55" applyNumberFormat="1" applyFont="1" applyFill="1" applyBorder="1" applyAlignment="1">
      <alignment horizontal="right"/>
    </xf>
    <xf numFmtId="169" fontId="15" fillId="35" borderId="10" xfId="60" applyNumberFormat="1" applyFont="1" applyFill="1" applyBorder="1" applyAlignment="1">
      <alignment horizontal="left" vertical="center" wrapText="1"/>
    </xf>
    <xf numFmtId="0" fontId="26" fillId="35" borderId="10" xfId="42" applyFont="1" applyFill="1" applyBorder="1" applyAlignment="1">
      <alignment horizontal="center"/>
      <protection/>
    </xf>
    <xf numFmtId="169" fontId="11" fillId="35" borderId="10" xfId="60" applyNumberFormat="1" applyFont="1" applyFill="1" applyBorder="1" applyAlignment="1">
      <alignment horizontal="center" vertical="center" wrapText="1"/>
    </xf>
    <xf numFmtId="0" fontId="15" fillId="35" borderId="0" xfId="42" applyFont="1" applyFill="1">
      <alignment/>
      <protection/>
    </xf>
    <xf numFmtId="169" fontId="11" fillId="35" borderId="10" xfId="60" applyNumberFormat="1" applyFont="1" applyFill="1" applyBorder="1" applyAlignment="1">
      <alignment horizontal="left" vertical="center" wrapText="1"/>
    </xf>
    <xf numFmtId="0" fontId="26" fillId="35" borderId="19" xfId="42" applyFont="1" applyFill="1" applyBorder="1" applyAlignment="1">
      <alignment horizontal="center"/>
      <protection/>
    </xf>
    <xf numFmtId="0" fontId="11" fillId="35" borderId="10" xfId="42" applyFont="1" applyFill="1" applyBorder="1">
      <alignment/>
      <protection/>
    </xf>
    <xf numFmtId="43" fontId="15" fillId="35" borderId="10" xfId="42" applyNumberFormat="1" applyFont="1" applyFill="1" applyBorder="1">
      <alignment/>
      <protection/>
    </xf>
    <xf numFmtId="43" fontId="12" fillId="0" borderId="0" xfId="42" applyNumberFormat="1" applyFont="1">
      <alignment/>
      <protection/>
    </xf>
    <xf numFmtId="43" fontId="26" fillId="35" borderId="10" xfId="42" applyNumberFormat="1" applyFont="1" applyFill="1" applyBorder="1">
      <alignment/>
      <protection/>
    </xf>
    <xf numFmtId="169" fontId="0" fillId="35" borderId="0" xfId="55" applyNumberFormat="1" applyFont="1" applyFill="1" applyAlignment="1">
      <alignment/>
    </xf>
    <xf numFmtId="0" fontId="12" fillId="35" borderId="0" xfId="0" applyFont="1" applyFill="1" applyBorder="1" applyAlignment="1">
      <alignment horizontal="right"/>
    </xf>
    <xf numFmtId="0" fontId="12" fillId="35" borderId="15" xfId="0" applyFont="1" applyFill="1" applyBorder="1" applyAlignment="1">
      <alignment horizontal="right"/>
    </xf>
    <xf numFmtId="0" fontId="5" fillId="35" borderId="16" xfId="0" applyFont="1" applyFill="1" applyBorder="1" applyAlignment="1">
      <alignment horizontal="center" wrapText="1"/>
    </xf>
    <xf numFmtId="168" fontId="5" fillId="35" borderId="16" xfId="55" applyNumberFormat="1" applyFont="1" applyFill="1" applyBorder="1" applyAlignment="1">
      <alignment horizontal="center" wrapText="1"/>
    </xf>
    <xf numFmtId="43" fontId="5" fillId="35" borderId="16" xfId="55" applyFont="1" applyFill="1" applyBorder="1" applyAlignment="1">
      <alignment horizontal="center" wrapText="1"/>
    </xf>
    <xf numFmtId="0" fontId="5" fillId="35" borderId="16" xfId="0" applyFont="1" applyFill="1" applyBorder="1" applyAlignment="1">
      <alignment wrapText="1"/>
    </xf>
    <xf numFmtId="168" fontId="5" fillId="35" borderId="16" xfId="55" applyNumberFormat="1" applyFont="1" applyFill="1" applyBorder="1" applyAlignment="1">
      <alignment horizontal="center"/>
    </xf>
    <xf numFmtId="43" fontId="5" fillId="35" borderId="16" xfId="55" applyFont="1" applyFill="1" applyBorder="1" applyAlignment="1">
      <alignment horizontal="center"/>
    </xf>
    <xf numFmtId="0" fontId="1" fillId="35" borderId="16" xfId="0" applyFont="1" applyFill="1" applyBorder="1" applyAlignment="1">
      <alignment wrapText="1"/>
    </xf>
    <xf numFmtId="168" fontId="5" fillId="35" borderId="16" xfId="55" applyNumberFormat="1" applyFont="1" applyFill="1" applyBorder="1" applyAlignment="1">
      <alignment horizontal="right"/>
    </xf>
    <xf numFmtId="43" fontId="5" fillId="35" borderId="16" xfId="55" applyFont="1" applyFill="1" applyBorder="1" applyAlignment="1">
      <alignment horizontal="right"/>
    </xf>
    <xf numFmtId="180" fontId="7" fillId="35" borderId="16" xfId="0" applyNumberFormat="1" applyFont="1" applyFill="1" applyBorder="1" applyAlignment="1">
      <alignment horizontal="center" wrapText="1"/>
    </xf>
    <xf numFmtId="169" fontId="5" fillId="35" borderId="16" xfId="55" applyNumberFormat="1" applyFont="1" applyFill="1" applyBorder="1" applyAlignment="1">
      <alignment/>
    </xf>
    <xf numFmtId="169" fontId="5" fillId="35" borderId="16" xfId="55" applyNumberFormat="1" applyFont="1" applyFill="1" applyBorder="1" applyAlignment="1">
      <alignment horizontal="right" wrapText="1"/>
    </xf>
    <xf numFmtId="169" fontId="0" fillId="35" borderId="16" xfId="55" applyNumberFormat="1" applyFont="1" applyFill="1" applyBorder="1" applyAlignment="1">
      <alignment/>
    </xf>
    <xf numFmtId="169" fontId="1" fillId="35" borderId="16" xfId="55" applyNumberFormat="1" applyFont="1" applyFill="1" applyBorder="1" applyAlignment="1">
      <alignment horizontal="right" wrapText="1"/>
    </xf>
    <xf numFmtId="0" fontId="28" fillId="35" borderId="0" xfId="0" applyFont="1" applyFill="1" applyAlignment="1">
      <alignment horizontal="center"/>
    </xf>
    <xf numFmtId="0" fontId="28" fillId="35" borderId="0" xfId="0" applyFont="1" applyFill="1" applyAlignment="1">
      <alignment/>
    </xf>
    <xf numFmtId="0" fontId="29" fillId="35" borderId="0" xfId="0" applyFont="1" applyFill="1" applyAlignment="1">
      <alignment/>
    </xf>
    <xf numFmtId="0" fontId="11" fillId="35" borderId="0" xfId="0" applyFont="1" applyFill="1" applyAlignment="1">
      <alignment horizontal="center"/>
    </xf>
    <xf numFmtId="43" fontId="28" fillId="35" borderId="0" xfId="0" applyNumberFormat="1" applyFont="1" applyFill="1" applyAlignment="1">
      <alignment/>
    </xf>
    <xf numFmtId="0" fontId="3" fillId="35" borderId="16" xfId="0" applyFont="1" applyFill="1" applyBorder="1" applyAlignment="1">
      <alignment horizontal="center" vertical="center" wrapText="1"/>
    </xf>
    <xf numFmtId="43" fontId="6" fillId="35" borderId="16" xfId="55" applyFont="1" applyFill="1" applyBorder="1" applyAlignment="1">
      <alignment horizontal="center" wrapText="1"/>
    </xf>
    <xf numFmtId="168" fontId="69" fillId="35" borderId="0" xfId="55" applyNumberFormat="1" applyFont="1" applyFill="1" applyAlignment="1">
      <alignment/>
    </xf>
    <xf numFmtId="43" fontId="6" fillId="35" borderId="16" xfId="55" applyFont="1" applyFill="1" applyBorder="1" applyAlignment="1">
      <alignment horizontal="center"/>
    </xf>
    <xf numFmtId="43" fontId="5" fillId="35" borderId="0" xfId="55" applyFont="1" applyFill="1" applyAlignment="1">
      <alignment/>
    </xf>
    <xf numFmtId="0" fontId="25" fillId="35" borderId="10" xfId="0" applyFont="1" applyFill="1" applyBorder="1" applyAlignment="1">
      <alignment/>
    </xf>
    <xf numFmtId="169" fontId="7" fillId="35" borderId="16" xfId="55" applyNumberFormat="1" applyFont="1" applyFill="1" applyBorder="1" applyAlignment="1">
      <alignment/>
    </xf>
    <xf numFmtId="182" fontId="25" fillId="35" borderId="10" xfId="57" applyNumberFormat="1" applyFont="1" applyFill="1" applyBorder="1" applyAlignment="1">
      <alignment horizontal="left"/>
    </xf>
    <xf numFmtId="43" fontId="6" fillId="35" borderId="16" xfId="55" applyFont="1" applyFill="1" applyBorder="1" applyAlignment="1">
      <alignment horizontal="right"/>
    </xf>
    <xf numFmtId="168" fontId="6" fillId="35" borderId="0" xfId="0" applyNumberFormat="1" applyFont="1" applyFill="1" applyAlignment="1">
      <alignment/>
    </xf>
    <xf numFmtId="43" fontId="5" fillId="35" borderId="16" xfId="55" applyNumberFormat="1" applyFont="1" applyFill="1" applyBorder="1" applyAlignment="1">
      <alignment/>
    </xf>
    <xf numFmtId="43" fontId="6" fillId="35" borderId="16" xfId="55" applyFont="1" applyFill="1" applyBorder="1" applyAlignment="1">
      <alignment horizontal="right" wrapText="1"/>
    </xf>
    <xf numFmtId="169" fontId="6" fillId="35" borderId="0" xfId="55" applyNumberFormat="1" applyFont="1" applyFill="1" applyAlignment="1">
      <alignment/>
    </xf>
    <xf numFmtId="172" fontId="6" fillId="35" borderId="0" xfId="0" applyNumberFormat="1" applyFont="1" applyFill="1" applyAlignment="1">
      <alignment/>
    </xf>
    <xf numFmtId="43" fontId="0" fillId="35" borderId="16" xfId="55" applyNumberFormat="1" applyFont="1" applyFill="1" applyBorder="1" applyAlignment="1">
      <alignment/>
    </xf>
    <xf numFmtId="43" fontId="32" fillId="35" borderId="16" xfId="55" applyFont="1" applyFill="1" applyBorder="1" applyAlignment="1">
      <alignment/>
    </xf>
    <xf numFmtId="168" fontId="70" fillId="35" borderId="13" xfId="55" applyNumberFormat="1" applyFont="1" applyFill="1" applyBorder="1" applyAlignment="1">
      <alignment/>
    </xf>
    <xf numFmtId="168" fontId="13" fillId="35" borderId="16" xfId="55" applyNumberFormat="1" applyFont="1" applyFill="1" applyBorder="1" applyAlignment="1">
      <alignment horizontal="right"/>
    </xf>
    <xf numFmtId="168" fontId="1" fillId="35" borderId="16" xfId="55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/>
    </xf>
    <xf numFmtId="0" fontId="9" fillId="0" borderId="19" xfId="42" applyFont="1" applyFill="1" applyBorder="1">
      <alignment/>
      <protection/>
    </xf>
    <xf numFmtId="0" fontId="6" fillId="0" borderId="19" xfId="42" applyFont="1" applyFill="1" applyBorder="1">
      <alignment/>
      <protection/>
    </xf>
    <xf numFmtId="0" fontId="6" fillId="0" borderId="0" xfId="42" applyFont="1" applyFill="1">
      <alignment/>
      <protection/>
    </xf>
    <xf numFmtId="0" fontId="20" fillId="0" borderId="19" xfId="42" applyFont="1" applyFill="1" applyBorder="1" applyAlignment="1">
      <alignment wrapText="1"/>
      <protection/>
    </xf>
    <xf numFmtId="168" fontId="6" fillId="0" borderId="19" xfId="42" applyNumberFormat="1" applyFont="1" applyFill="1" applyBorder="1">
      <alignment/>
      <protection/>
    </xf>
    <xf numFmtId="0" fontId="73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3" fontId="73" fillId="0" borderId="16" xfId="0" applyNumberFormat="1" applyFont="1" applyBorder="1" applyAlignment="1">
      <alignment horizontal="right" vertical="center" wrapText="1"/>
    </xf>
    <xf numFmtId="179" fontId="74" fillId="0" borderId="16" xfId="0" applyNumberFormat="1" applyFont="1" applyFill="1" applyBorder="1" applyAlignment="1">
      <alignment horizontal="right" vertical="center" wrapText="1"/>
    </xf>
    <xf numFmtId="0" fontId="3" fillId="0" borderId="16" xfId="44" applyFont="1" applyFill="1" applyBorder="1" applyAlignment="1">
      <alignment horizontal="center" vertical="center" wrapText="1"/>
      <protection/>
    </xf>
    <xf numFmtId="0" fontId="17" fillId="0" borderId="16" xfId="44" applyFont="1" applyFill="1" applyBorder="1" applyAlignment="1">
      <alignment horizontal="center" vertical="center" wrapText="1"/>
      <protection/>
    </xf>
    <xf numFmtId="0" fontId="16" fillId="0" borderId="16" xfId="44" applyFont="1" applyFill="1" applyBorder="1" applyAlignment="1">
      <alignment horizontal="center" vertical="center" wrapText="1"/>
      <protection/>
    </xf>
    <xf numFmtId="0" fontId="14" fillId="0" borderId="16" xfId="44" applyFont="1" applyFill="1" applyBorder="1" applyAlignment="1">
      <alignment horizontal="center" vertical="center" wrapText="1"/>
      <protection/>
    </xf>
    <xf numFmtId="0" fontId="16" fillId="0" borderId="21" xfId="44" applyFont="1" applyFill="1" applyBorder="1" applyAlignment="1">
      <alignment horizontal="center" vertical="center"/>
      <protection/>
    </xf>
    <xf numFmtId="0" fontId="16" fillId="0" borderId="24" xfId="44" applyFont="1" applyFill="1" applyBorder="1" applyAlignment="1">
      <alignment horizontal="center" vertical="center"/>
      <protection/>
    </xf>
    <xf numFmtId="0" fontId="16" fillId="0" borderId="18" xfId="44" applyFont="1" applyFill="1" applyBorder="1" applyAlignment="1">
      <alignment horizontal="center" vertical="center"/>
      <protection/>
    </xf>
    <xf numFmtId="0" fontId="18" fillId="0" borderId="16" xfId="44" applyFont="1" applyFill="1" applyBorder="1" applyAlignment="1">
      <alignment horizontal="center" vertical="center" wrapText="1"/>
      <protection/>
    </xf>
    <xf numFmtId="2" fontId="7" fillId="0" borderId="21" xfId="44" applyNumberFormat="1" applyFont="1" applyFill="1" applyBorder="1" applyAlignment="1">
      <alignment horizontal="center"/>
      <protection/>
    </xf>
    <xf numFmtId="2" fontId="7" fillId="0" borderId="24" xfId="44" applyNumberFormat="1" applyFont="1" applyFill="1" applyBorder="1" applyAlignment="1">
      <alignment horizontal="center"/>
      <protection/>
    </xf>
    <xf numFmtId="2" fontId="7" fillId="0" borderId="18" xfId="44" applyNumberFormat="1" applyFont="1" applyFill="1" applyBorder="1" applyAlignment="1">
      <alignment horizontal="center"/>
      <protection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16" fillId="0" borderId="21" xfId="44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24" xfId="44" applyFont="1" applyFill="1" applyBorder="1" applyAlignment="1">
      <alignment horizontal="center" vertical="center" wrapText="1"/>
      <protection/>
    </xf>
    <xf numFmtId="0" fontId="16" fillId="0" borderId="18" xfId="44" applyFont="1" applyFill="1" applyBorder="1" applyAlignment="1">
      <alignment horizontal="center" vertical="center" wrapText="1"/>
      <protection/>
    </xf>
    <xf numFmtId="0" fontId="9" fillId="0" borderId="22" xfId="42" applyFont="1" applyBorder="1" applyAlignment="1">
      <alignment horizontal="center" vertical="center" wrapText="1"/>
      <protection/>
    </xf>
    <xf numFmtId="0" fontId="9" fillId="0" borderId="25" xfId="42" applyFont="1" applyBorder="1" applyAlignment="1">
      <alignment horizontal="center" vertical="center" wrapText="1"/>
      <protection/>
    </xf>
    <xf numFmtId="0" fontId="9" fillId="0" borderId="0" xfId="42" applyFont="1" applyAlignment="1">
      <alignment horizontal="center" vertical="center" wrapText="1" shrinkToFit="1"/>
      <protection/>
    </xf>
    <xf numFmtId="0" fontId="1" fillId="0" borderId="0" xfId="0" applyFont="1" applyAlignment="1">
      <alignment horizontal="center"/>
    </xf>
    <xf numFmtId="0" fontId="11" fillId="0" borderId="0" xfId="42" applyFont="1" applyAlignment="1">
      <alignment horizontal="center"/>
      <protection/>
    </xf>
    <xf numFmtId="0" fontId="10" fillId="0" borderId="25" xfId="42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9" fillId="0" borderId="16" xfId="42" applyNumberFormat="1" applyFont="1" applyBorder="1" applyAlignment="1">
      <alignment horizontal="center" vertical="center" wrapText="1"/>
      <protection/>
    </xf>
    <xf numFmtId="0" fontId="0" fillId="0" borderId="16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35" borderId="21" xfId="42" applyNumberFormat="1" applyFont="1" applyFill="1" applyBorder="1" applyAlignment="1">
      <alignment horizontal="center" vertical="center" wrapText="1"/>
      <protection/>
    </xf>
    <xf numFmtId="0" fontId="6" fillId="35" borderId="24" xfId="42" applyNumberFormat="1" applyFont="1" applyFill="1" applyBorder="1" applyAlignment="1">
      <alignment horizontal="center" vertical="center" wrapText="1"/>
      <protection/>
    </xf>
    <xf numFmtId="0" fontId="6" fillId="35" borderId="18" xfId="42" applyNumberFormat="1" applyFont="1" applyFill="1" applyBorder="1" applyAlignment="1">
      <alignment horizontal="center" vertical="center" wrapText="1"/>
      <protection/>
    </xf>
    <xf numFmtId="0" fontId="6" fillId="35" borderId="22" xfId="42" applyFont="1" applyFill="1" applyBorder="1" applyAlignment="1">
      <alignment horizontal="center" vertical="center" wrapText="1"/>
      <protection/>
    </xf>
    <xf numFmtId="0" fontId="6" fillId="35" borderId="25" xfId="42" applyFont="1" applyFill="1" applyBorder="1" applyAlignment="1">
      <alignment horizontal="center" vertical="center" wrapText="1"/>
      <protection/>
    </xf>
    <xf numFmtId="0" fontId="7" fillId="35" borderId="25" xfId="42" applyFont="1" applyFill="1" applyBorder="1" applyAlignment="1">
      <alignment horizontal="center" vertical="center" wrapText="1"/>
      <protection/>
    </xf>
    <xf numFmtId="0" fontId="23" fillId="35" borderId="16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/>
    </xf>
    <xf numFmtId="0" fontId="23" fillId="35" borderId="24" xfId="0" applyFont="1" applyFill="1" applyBorder="1" applyAlignment="1">
      <alignment horizontal="center" vertical="center"/>
    </xf>
    <xf numFmtId="0" fontId="23" fillId="35" borderId="18" xfId="0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2" xfId="75" applyFont="1" applyFill="1" applyBorder="1" applyAlignment="1">
      <alignment horizontal="center" vertical="center" wrapText="1"/>
      <protection/>
    </xf>
    <xf numFmtId="0" fontId="3" fillId="35" borderId="12" xfId="75" applyFont="1" applyFill="1" applyBorder="1" applyAlignment="1">
      <alignment horizontal="center" vertical="center" wrapText="1"/>
      <protection/>
    </xf>
    <xf numFmtId="0" fontId="3" fillId="35" borderId="25" xfId="75" applyFont="1" applyFill="1" applyBorder="1" applyAlignment="1">
      <alignment horizontal="center" vertical="center" wrapText="1"/>
      <protection/>
    </xf>
    <xf numFmtId="0" fontId="3" fillId="35" borderId="16" xfId="75" applyFont="1" applyFill="1" applyBorder="1" applyAlignment="1">
      <alignment horizontal="center" vertical="center" wrapText="1"/>
      <protection/>
    </xf>
    <xf numFmtId="0" fontId="0" fillId="35" borderId="16" xfId="0" applyFill="1" applyBorder="1" applyAlignment="1">
      <alignment horizontal="center" vertical="center" wrapText="1"/>
    </xf>
    <xf numFmtId="0" fontId="3" fillId="35" borderId="21" xfId="75" applyFont="1" applyFill="1" applyBorder="1" applyAlignment="1">
      <alignment horizontal="center" vertical="center" wrapText="1"/>
      <protection/>
    </xf>
    <xf numFmtId="0" fontId="3" fillId="35" borderId="24" xfId="75" applyFont="1" applyFill="1" applyBorder="1" applyAlignment="1">
      <alignment horizontal="center" vertical="center" wrapText="1"/>
      <protection/>
    </xf>
    <xf numFmtId="0" fontId="3" fillId="35" borderId="18" xfId="75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3" fillId="35" borderId="26" xfId="0" applyFont="1" applyFill="1" applyBorder="1" applyAlignment="1">
      <alignment horizontal="center" vertical="center" wrapText="1"/>
    </xf>
    <xf numFmtId="0" fontId="23" fillId="35" borderId="27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23" fillId="35" borderId="29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30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6" xfId="47" applyFont="1" applyFill="1" applyBorder="1" applyAlignment="1">
      <alignment horizontal="center" vertical="center" wrapText="1"/>
      <protection/>
    </xf>
    <xf numFmtId="0" fontId="23" fillId="35" borderId="24" xfId="0" applyFont="1" applyFill="1" applyBorder="1" applyAlignment="1">
      <alignment horizontal="center" vertical="center" wrapText="1"/>
    </xf>
    <xf numFmtId="0" fontId="3" fillId="35" borderId="21" xfId="47" applyFont="1" applyFill="1" applyBorder="1" applyAlignment="1">
      <alignment horizontal="center" vertical="center"/>
      <protection/>
    </xf>
    <xf numFmtId="0" fontId="3" fillId="35" borderId="18" xfId="47" applyFont="1" applyFill="1" applyBorder="1" applyAlignment="1">
      <alignment horizontal="center" vertical="center"/>
      <protection/>
    </xf>
    <xf numFmtId="0" fontId="3" fillId="35" borderId="22" xfId="47" applyFont="1" applyFill="1" applyBorder="1" applyAlignment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6" xfId="47" applyNumberFormat="1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9" fillId="0" borderId="0" xfId="42" applyFont="1" applyFill="1" applyAlignment="1">
      <alignment horizontal="center" vertical="center" wrapText="1" shrinkToFit="1"/>
      <protection/>
    </xf>
    <xf numFmtId="0" fontId="11" fillId="0" borderId="0" xfId="42" applyFont="1" applyFill="1" applyBorder="1" applyAlignment="1">
      <alignment horizontal="center"/>
      <protection/>
    </xf>
  </cellXfs>
  <cellStyles count="68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ình thường 10" xfId="41"/>
    <cellStyle name="Bình thường 2" xfId="42"/>
    <cellStyle name="Bình thường 2 2" xfId="43"/>
    <cellStyle name="Bình thường 2 2 2" xfId="44"/>
    <cellStyle name="Bình thường 2 3" xfId="45"/>
    <cellStyle name="Bình thường 3" xfId="46"/>
    <cellStyle name="Bình thường 3 2_Book1" xfId="47"/>
    <cellStyle name="Bình thường 4" xfId="48"/>
    <cellStyle name="Bình thường 5" xfId="49"/>
    <cellStyle name="Bình thường 5 2" xfId="50"/>
    <cellStyle name="Bình thường 6" xfId="51"/>
    <cellStyle name="Bình thường 7" xfId="52"/>
    <cellStyle name="Calculation" xfId="53"/>
    <cellStyle name="Check Cell" xfId="54"/>
    <cellStyle name="Comma" xfId="55"/>
    <cellStyle name="Comma [0]" xfId="56"/>
    <cellStyle name="Comma 2" xfId="57"/>
    <cellStyle name="Currency" xfId="58"/>
    <cellStyle name="Currency [0]" xfId="59"/>
    <cellStyle name="Dấu_phảy 2 2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rmal 2 2" xfId="71"/>
    <cellStyle name="Normal 2 3" xfId="72"/>
    <cellStyle name="Normal 5" xfId="73"/>
    <cellStyle name="Normal 7" xfId="74"/>
    <cellStyle name="Normal_Mau bieu dutoan 2017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9</xdr:row>
      <xdr:rowOff>0</xdr:rowOff>
    </xdr:from>
    <xdr:to>
      <xdr:col>9</xdr:col>
      <xdr:colOff>400050</xdr:colOff>
      <xdr:row>9</xdr:row>
      <xdr:rowOff>0</xdr:rowOff>
    </xdr:to>
    <xdr:sp>
      <xdr:nvSpPr>
        <xdr:cNvPr id="1" name="Line 36"/>
        <xdr:cNvSpPr>
          <a:spLocks/>
        </xdr:cNvSpPr>
      </xdr:nvSpPr>
      <xdr:spPr>
        <a:xfrm>
          <a:off x="5562600" y="23431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314325</xdr:colOff>
      <xdr:row>9</xdr:row>
      <xdr:rowOff>0</xdr:rowOff>
    </xdr:from>
    <xdr:to>
      <xdr:col>24</xdr:col>
      <xdr:colOff>400050</xdr:colOff>
      <xdr:row>9</xdr:row>
      <xdr:rowOff>0</xdr:rowOff>
    </xdr:to>
    <xdr:sp>
      <xdr:nvSpPr>
        <xdr:cNvPr id="2" name="Line 36"/>
        <xdr:cNvSpPr>
          <a:spLocks/>
        </xdr:cNvSpPr>
      </xdr:nvSpPr>
      <xdr:spPr>
        <a:xfrm>
          <a:off x="80772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314325</xdr:colOff>
      <xdr:row>9</xdr:row>
      <xdr:rowOff>0</xdr:rowOff>
    </xdr:from>
    <xdr:to>
      <xdr:col>9</xdr:col>
      <xdr:colOff>400050</xdr:colOff>
      <xdr:row>9</xdr:row>
      <xdr:rowOff>0</xdr:rowOff>
    </xdr:to>
    <xdr:sp>
      <xdr:nvSpPr>
        <xdr:cNvPr id="3" name="Line 36"/>
        <xdr:cNvSpPr>
          <a:spLocks/>
        </xdr:cNvSpPr>
      </xdr:nvSpPr>
      <xdr:spPr>
        <a:xfrm>
          <a:off x="5562600" y="23431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314325</xdr:colOff>
      <xdr:row>9</xdr:row>
      <xdr:rowOff>0</xdr:rowOff>
    </xdr:from>
    <xdr:to>
      <xdr:col>24</xdr:col>
      <xdr:colOff>400050</xdr:colOff>
      <xdr:row>9</xdr:row>
      <xdr:rowOff>0</xdr:rowOff>
    </xdr:to>
    <xdr:sp>
      <xdr:nvSpPr>
        <xdr:cNvPr id="4" name="Line 36"/>
        <xdr:cNvSpPr>
          <a:spLocks/>
        </xdr:cNvSpPr>
      </xdr:nvSpPr>
      <xdr:spPr>
        <a:xfrm>
          <a:off x="80772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314325</xdr:colOff>
      <xdr:row>9</xdr:row>
      <xdr:rowOff>0</xdr:rowOff>
    </xdr:from>
    <xdr:to>
      <xdr:col>9</xdr:col>
      <xdr:colOff>400050</xdr:colOff>
      <xdr:row>9</xdr:row>
      <xdr:rowOff>0</xdr:rowOff>
    </xdr:to>
    <xdr:sp>
      <xdr:nvSpPr>
        <xdr:cNvPr id="5" name="Line 36"/>
        <xdr:cNvSpPr>
          <a:spLocks/>
        </xdr:cNvSpPr>
      </xdr:nvSpPr>
      <xdr:spPr>
        <a:xfrm>
          <a:off x="5562600" y="23431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314325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6" name="Line 36"/>
        <xdr:cNvSpPr>
          <a:spLocks/>
        </xdr:cNvSpPr>
      </xdr:nvSpPr>
      <xdr:spPr>
        <a:xfrm>
          <a:off x="80772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&#224;i%20li&#7879;u%20l&#224;m%20vi&#7879;c\Cuong\Ng&#226;n%20s&#225;ch\2014\Ph&#226;n%20b&#7893;%202014\Chi%20ti&#7871;t%20ph&#226;n%20b&#7893;%20ng&#226;n%20s&#225;ch%20n&#259;m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&#224;i%20li&#7879;u%20l&#224;m%20vi&#7879;c\Cuong\Ng&#226;n%20s&#225;ch\2021\Ph&#226;n%20b&#7893;%20ng&#226;n%20s&#225;ch\Bi&#7875;u%20ph&#226;n%20b&#7893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Hỗ trợ học sinh THPT"/>
      <sheetName val="Thêm 4 tháng cuối năm"/>
      <sheetName val="4 tháng cuối năm chính thức"/>
      <sheetName val="Sheet4"/>
      <sheetName val="TH cuối 31.10"/>
      <sheetName val="Kiến nghị 2014"/>
      <sheetName val="Tăng Học bổng 2011"/>
      <sheetName val="Cử tuyển 2011 "/>
      <sheetName val="DT thu 2014"/>
      <sheetName val="CTMT PCMT 2014"/>
      <sheetName val="Bảng lương"/>
      <sheetName val="Chi tiết phân bổ thu chi 2014"/>
      <sheetName val="SEQAP 2014"/>
      <sheetName val="CTMT NSVSMT 2014"/>
      <sheetName val="Chi tiết phân bổ CTMT 2014"/>
      <sheetName val="Sửa chữa"/>
      <sheetName val="Học bổng nội trú 2014"/>
      <sheetName val="Đào tạo trung quốc 2014"/>
      <sheetName val="Bác sỹ tuyến xã 2014)"/>
      <sheetName val="Lào 2014"/>
      <sheetName val="Cử tuyển 2014"/>
      <sheetName val="Bù học phí2014"/>
      <sheetName val="CP học tập 2014"/>
      <sheetName val="NC DTNT 2012"/>
      <sheetName val="Trợ cấp khó khăn2011 "/>
      <sheetName val="Hỗ trợ học phí"/>
      <sheetName val="Hỗ trợ CPHT"/>
      <sheetName val="Thu _Cường"/>
      <sheetName val="Biểu 01_TT83"/>
      <sheetName val="Biểu 01"/>
      <sheetName val="Biểu 02_TT83"/>
      <sheetName val="Biểu 02"/>
      <sheetName val="Sheet2"/>
      <sheetName val="Biểu 10"/>
      <sheetName val="Biểu 11"/>
      <sheetName val="Phụ lục 2 biểu 01"/>
      <sheetName val="TH"/>
      <sheetName val="Phụ lục 2 biểu 03"/>
      <sheetName val="BL2010"/>
      <sheetName val="Biểu tổng hợp"/>
      <sheetName val="Sheet1"/>
      <sheetName val="Chỉ tiêu"/>
      <sheetName val="Phụ lục 2 biểu 4"/>
      <sheetName val="Đề án tiếng dân tộc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</sheetNames>
    <sheetDataSet>
      <sheetData sheetId="11">
        <row r="12">
          <cell r="D12">
            <v>62</v>
          </cell>
        </row>
        <row r="13">
          <cell r="D13">
            <v>52</v>
          </cell>
        </row>
        <row r="14">
          <cell r="D14">
            <v>90</v>
          </cell>
        </row>
        <row r="15">
          <cell r="D15">
            <v>47</v>
          </cell>
        </row>
        <row r="16">
          <cell r="D16">
            <v>98</v>
          </cell>
        </row>
        <row r="17">
          <cell r="D17">
            <v>84</v>
          </cell>
        </row>
        <row r="18">
          <cell r="D18">
            <v>80</v>
          </cell>
        </row>
        <row r="19">
          <cell r="D19">
            <v>59</v>
          </cell>
        </row>
        <row r="20">
          <cell r="D20">
            <v>76</v>
          </cell>
        </row>
        <row r="21">
          <cell r="D21">
            <v>56</v>
          </cell>
        </row>
        <row r="22">
          <cell r="D22">
            <v>76</v>
          </cell>
        </row>
        <row r="23">
          <cell r="D23">
            <v>63</v>
          </cell>
        </row>
        <row r="24">
          <cell r="D24">
            <v>52</v>
          </cell>
        </row>
        <row r="25">
          <cell r="D25">
            <v>40</v>
          </cell>
        </row>
        <row r="26">
          <cell r="D26">
            <v>40</v>
          </cell>
        </row>
        <row r="27">
          <cell r="D27">
            <v>41</v>
          </cell>
        </row>
        <row r="28">
          <cell r="D28">
            <v>44</v>
          </cell>
        </row>
        <row r="29">
          <cell r="D29">
            <v>40</v>
          </cell>
        </row>
        <row r="30">
          <cell r="D30">
            <v>25</v>
          </cell>
        </row>
        <row r="31">
          <cell r="D31">
            <v>38</v>
          </cell>
        </row>
        <row r="34">
          <cell r="D34">
            <v>49</v>
          </cell>
        </row>
        <row r="35">
          <cell r="D35">
            <v>39</v>
          </cell>
        </row>
        <row r="36">
          <cell r="D36">
            <v>40</v>
          </cell>
        </row>
        <row r="37">
          <cell r="D37">
            <v>44</v>
          </cell>
        </row>
        <row r="38">
          <cell r="D38">
            <v>38</v>
          </cell>
        </row>
        <row r="39">
          <cell r="D39">
            <v>39</v>
          </cell>
        </row>
        <row r="40">
          <cell r="D40">
            <v>45</v>
          </cell>
        </row>
        <row r="49">
          <cell r="D49">
            <v>75</v>
          </cell>
        </row>
        <row r="50">
          <cell r="D50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"/>
      <sheetName val="Phân bổ"/>
      <sheetName val="Biểu 38"/>
      <sheetName val="Biểu 46.1"/>
      <sheetName val="Biểu 46.2"/>
      <sheetName val="Sheet1"/>
      <sheetName val="Cải tạo sửa chữa"/>
    </sheetNames>
    <sheetDataSet>
      <sheetData sheetId="0">
        <row r="30">
          <cell r="T30">
            <v>12</v>
          </cell>
        </row>
        <row r="37">
          <cell r="T37">
            <v>10.5064</v>
          </cell>
        </row>
        <row r="44">
          <cell r="T44">
            <v>40</v>
          </cell>
        </row>
        <row r="51">
          <cell r="T51">
            <v>34.3708</v>
          </cell>
        </row>
        <row r="58">
          <cell r="T58">
            <v>132</v>
          </cell>
        </row>
        <row r="65">
          <cell r="T65">
            <v>44</v>
          </cell>
        </row>
        <row r="72">
          <cell r="T72">
            <v>100</v>
          </cell>
        </row>
        <row r="79">
          <cell r="T79">
            <v>10.8</v>
          </cell>
        </row>
        <row r="86">
          <cell r="T86">
            <v>39</v>
          </cell>
        </row>
        <row r="93">
          <cell r="T93">
            <v>6</v>
          </cell>
        </row>
        <row r="100">
          <cell r="T100">
            <v>39.2</v>
          </cell>
        </row>
        <row r="107">
          <cell r="T107">
            <v>6</v>
          </cell>
        </row>
        <row r="114">
          <cell r="T114">
            <v>5.9184</v>
          </cell>
        </row>
        <row r="121">
          <cell r="T121">
            <v>4</v>
          </cell>
        </row>
        <row r="128">
          <cell r="T128">
            <v>7.68</v>
          </cell>
        </row>
        <row r="135">
          <cell r="T135">
            <v>7.6000000000000005</v>
          </cell>
        </row>
        <row r="142">
          <cell r="T142">
            <v>3.2</v>
          </cell>
        </row>
        <row r="149">
          <cell r="T149">
            <v>8.4</v>
          </cell>
        </row>
        <row r="156">
          <cell r="T156">
            <v>2.5600000000000005</v>
          </cell>
        </row>
        <row r="163">
          <cell r="T163">
            <v>17.6</v>
          </cell>
        </row>
        <row r="170">
          <cell r="T170">
            <v>2.8674</v>
          </cell>
        </row>
        <row r="177">
          <cell r="T177">
            <v>64</v>
          </cell>
        </row>
        <row r="184">
          <cell r="T184">
            <v>6</v>
          </cell>
        </row>
        <row r="191">
          <cell r="T191">
            <v>1.984</v>
          </cell>
        </row>
        <row r="198">
          <cell r="T198">
            <v>155.7142000000001</v>
          </cell>
        </row>
        <row r="205">
          <cell r="T205">
            <v>128.288</v>
          </cell>
        </row>
        <row r="212">
          <cell r="T212">
            <v>314.5416</v>
          </cell>
        </row>
      </sheetData>
      <sheetData sheetId="2">
        <row r="16">
          <cell r="AT16">
            <v>6633</v>
          </cell>
        </row>
        <row r="17">
          <cell r="AT17">
            <v>1179</v>
          </cell>
        </row>
        <row r="18">
          <cell r="AT18">
            <v>27152</v>
          </cell>
        </row>
        <row r="20">
          <cell r="AT20">
            <v>226781</v>
          </cell>
        </row>
        <row r="21">
          <cell r="AT21">
            <v>7746</v>
          </cell>
        </row>
        <row r="22">
          <cell r="AT22">
            <v>10726</v>
          </cell>
        </row>
        <row r="23">
          <cell r="AT23">
            <v>12279</v>
          </cell>
        </row>
        <row r="24">
          <cell r="AT24">
            <v>5695</v>
          </cell>
        </row>
        <row r="25">
          <cell r="AT25">
            <v>11764</v>
          </cell>
        </row>
        <row r="26">
          <cell r="AT26">
            <v>9894</v>
          </cell>
        </row>
        <row r="27">
          <cell r="AT27">
            <v>14388</v>
          </cell>
        </row>
        <row r="28">
          <cell r="AT28">
            <v>8304</v>
          </cell>
        </row>
        <row r="29">
          <cell r="AT29">
            <v>11097</v>
          </cell>
        </row>
        <row r="30">
          <cell r="AT30">
            <v>10667</v>
          </cell>
        </row>
        <row r="31">
          <cell r="AT31">
            <v>10947</v>
          </cell>
        </row>
        <row r="32">
          <cell r="AT32">
            <v>9943</v>
          </cell>
        </row>
        <row r="33">
          <cell r="AT33">
            <v>7568</v>
          </cell>
        </row>
        <row r="34">
          <cell r="AT34">
            <v>6463</v>
          </cell>
        </row>
        <row r="35">
          <cell r="AT35">
            <v>8047</v>
          </cell>
        </row>
        <row r="36">
          <cell r="AT36">
            <v>16330</v>
          </cell>
        </row>
        <row r="37">
          <cell r="AT37">
            <v>6378</v>
          </cell>
        </row>
        <row r="38">
          <cell r="AT38">
            <v>8786</v>
          </cell>
        </row>
        <row r="39">
          <cell r="AT39">
            <v>6496</v>
          </cell>
        </row>
        <row r="40">
          <cell r="AT40">
            <v>6526</v>
          </cell>
        </row>
        <row r="41">
          <cell r="AT41">
            <v>6310</v>
          </cell>
        </row>
        <row r="42">
          <cell r="AT42">
            <v>8194</v>
          </cell>
        </row>
        <row r="43">
          <cell r="AT43">
            <v>13657</v>
          </cell>
        </row>
        <row r="44">
          <cell r="AT44">
            <v>8576</v>
          </cell>
        </row>
        <row r="45">
          <cell r="AT45">
            <v>85082</v>
          </cell>
        </row>
        <row r="46">
          <cell r="AT46">
            <v>11696</v>
          </cell>
        </row>
        <row r="47">
          <cell r="AT47">
            <v>10082</v>
          </cell>
        </row>
        <row r="48">
          <cell r="AT48">
            <v>10707</v>
          </cell>
        </row>
        <row r="49">
          <cell r="AT49">
            <v>10661</v>
          </cell>
        </row>
        <row r="50">
          <cell r="AT50">
            <v>11517</v>
          </cell>
        </row>
        <row r="51">
          <cell r="AT51">
            <v>9955</v>
          </cell>
        </row>
        <row r="52">
          <cell r="AT52">
            <v>12082</v>
          </cell>
        </row>
        <row r="53">
          <cell r="AT53">
            <v>8382</v>
          </cell>
        </row>
        <row r="54">
          <cell r="AT54">
            <v>18849</v>
          </cell>
        </row>
        <row r="56">
          <cell r="AT56">
            <v>2527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22">
      <selection activeCell="G38" sqref="G38"/>
    </sheetView>
  </sheetViews>
  <sheetFormatPr defaultColWidth="9.00390625" defaultRowHeight="15.75"/>
  <cols>
    <col min="2" max="2" width="33.375" style="0" customWidth="1"/>
    <col min="3" max="3" width="13.875" style="0" customWidth="1"/>
  </cols>
  <sheetData>
    <row r="1" spans="1:4" ht="63">
      <c r="A1" s="61" t="s">
        <v>113</v>
      </c>
      <c r="B1" s="61" t="s">
        <v>114</v>
      </c>
      <c r="C1" s="61" t="s">
        <v>115</v>
      </c>
      <c r="D1" s="61" t="s">
        <v>116</v>
      </c>
    </row>
    <row r="2" spans="1:4" ht="15.75">
      <c r="A2" s="62">
        <v>1</v>
      </c>
      <c r="B2" s="62">
        <v>2</v>
      </c>
      <c r="C2" s="2"/>
      <c r="D2" s="2"/>
    </row>
    <row r="3" spans="1:4" ht="15.75">
      <c r="A3" s="63"/>
      <c r="B3" s="64" t="s">
        <v>117</v>
      </c>
      <c r="C3" s="65"/>
      <c r="D3" s="65"/>
    </row>
    <row r="4" spans="1:5" ht="15.75">
      <c r="A4" s="66">
        <v>1</v>
      </c>
      <c r="B4" s="67" t="s">
        <v>2</v>
      </c>
      <c r="C4" s="68" t="s">
        <v>118</v>
      </c>
      <c r="D4" s="68" t="s">
        <v>119</v>
      </c>
      <c r="E4">
        <v>1</v>
      </c>
    </row>
    <row r="5" spans="1:5" ht="15.75">
      <c r="A5" s="66">
        <v>2</v>
      </c>
      <c r="B5" s="67" t="s">
        <v>3</v>
      </c>
      <c r="C5" s="68" t="s">
        <v>120</v>
      </c>
      <c r="D5" s="68" t="s">
        <v>121</v>
      </c>
      <c r="E5">
        <v>1</v>
      </c>
    </row>
    <row r="6" spans="1:5" ht="15.75">
      <c r="A6" s="66">
        <v>3</v>
      </c>
      <c r="B6" s="67" t="s">
        <v>4</v>
      </c>
      <c r="C6" s="68" t="s">
        <v>122</v>
      </c>
      <c r="D6" s="68" t="s">
        <v>123</v>
      </c>
      <c r="E6">
        <v>1</v>
      </c>
    </row>
    <row r="7" spans="1:5" ht="15.75">
      <c r="A7" s="66">
        <v>4</v>
      </c>
      <c r="B7" s="1" t="s">
        <v>5</v>
      </c>
      <c r="C7" s="68" t="s">
        <v>124</v>
      </c>
      <c r="D7" s="68" t="s">
        <v>125</v>
      </c>
      <c r="E7">
        <v>1</v>
      </c>
    </row>
    <row r="8" spans="1:5" ht="15.75">
      <c r="A8" s="66">
        <v>5</v>
      </c>
      <c r="B8" s="67" t="s">
        <v>126</v>
      </c>
      <c r="C8" s="68" t="s">
        <v>127</v>
      </c>
      <c r="D8" s="68" t="s">
        <v>128</v>
      </c>
      <c r="E8">
        <v>1</v>
      </c>
    </row>
    <row r="9" spans="1:5" ht="15.75">
      <c r="A9" s="66">
        <v>6</v>
      </c>
      <c r="B9" s="1" t="s">
        <v>6</v>
      </c>
      <c r="C9" s="68" t="s">
        <v>129</v>
      </c>
      <c r="D9" s="68" t="s">
        <v>130</v>
      </c>
      <c r="E9">
        <v>1</v>
      </c>
    </row>
    <row r="10" spans="1:5" ht="15.75">
      <c r="A10" s="66">
        <v>7</v>
      </c>
      <c r="B10" s="67" t="s">
        <v>7</v>
      </c>
      <c r="C10" s="68" t="s">
        <v>131</v>
      </c>
      <c r="D10" s="68" t="s">
        <v>128</v>
      </c>
      <c r="E10">
        <v>1</v>
      </c>
    </row>
    <row r="11" spans="1:5" ht="15.75">
      <c r="A11" s="66">
        <v>8</v>
      </c>
      <c r="B11" s="67" t="s">
        <v>8</v>
      </c>
      <c r="C11" s="68" t="s">
        <v>132</v>
      </c>
      <c r="D11" s="68" t="s">
        <v>133</v>
      </c>
      <c r="E11">
        <v>1</v>
      </c>
    </row>
    <row r="12" spans="1:5" ht="15.75">
      <c r="A12" s="66">
        <v>9</v>
      </c>
      <c r="B12" s="67" t="s">
        <v>9</v>
      </c>
      <c r="C12" s="68" t="s">
        <v>134</v>
      </c>
      <c r="D12" s="68" t="s">
        <v>128</v>
      </c>
      <c r="E12">
        <v>1</v>
      </c>
    </row>
    <row r="13" spans="1:5" ht="15.75">
      <c r="A13" s="66">
        <v>10</v>
      </c>
      <c r="B13" s="1" t="s">
        <v>10</v>
      </c>
      <c r="C13" s="68" t="s">
        <v>135</v>
      </c>
      <c r="D13" s="68" t="s">
        <v>136</v>
      </c>
      <c r="E13">
        <v>1</v>
      </c>
    </row>
    <row r="14" spans="1:5" ht="15.75">
      <c r="A14" s="66">
        <v>11</v>
      </c>
      <c r="B14" s="67" t="s">
        <v>11</v>
      </c>
      <c r="C14" s="68" t="s">
        <v>137</v>
      </c>
      <c r="D14" s="68" t="s">
        <v>128</v>
      </c>
      <c r="E14">
        <v>1</v>
      </c>
    </row>
    <row r="15" spans="1:5" ht="15.75">
      <c r="A15" s="66">
        <v>12</v>
      </c>
      <c r="B15" s="1" t="s">
        <v>12</v>
      </c>
      <c r="C15" s="68" t="s">
        <v>138</v>
      </c>
      <c r="D15" s="68" t="s">
        <v>119</v>
      </c>
      <c r="E15">
        <v>1</v>
      </c>
    </row>
    <row r="16" spans="1:5" ht="15.75">
      <c r="A16" s="66">
        <v>13</v>
      </c>
      <c r="B16" s="1" t="s">
        <v>139</v>
      </c>
      <c r="C16" s="68" t="s">
        <v>140</v>
      </c>
      <c r="D16" s="68" t="s">
        <v>128</v>
      </c>
      <c r="E16">
        <v>1</v>
      </c>
    </row>
    <row r="17" spans="1:5" ht="15.75">
      <c r="A17" s="66">
        <v>14</v>
      </c>
      <c r="B17" s="67" t="s">
        <v>13</v>
      </c>
      <c r="C17" s="68" t="s">
        <v>141</v>
      </c>
      <c r="D17" s="68" t="s">
        <v>136</v>
      </c>
      <c r="E17">
        <v>1</v>
      </c>
    </row>
    <row r="18" spans="1:5" ht="15.75">
      <c r="A18" s="66">
        <v>15</v>
      </c>
      <c r="B18" s="67" t="s">
        <v>14</v>
      </c>
      <c r="C18" s="68" t="s">
        <v>142</v>
      </c>
      <c r="D18" s="68" t="s">
        <v>130</v>
      </c>
      <c r="E18">
        <v>1</v>
      </c>
    </row>
    <row r="19" spans="1:5" ht="15.75">
      <c r="A19" s="66">
        <v>16</v>
      </c>
      <c r="B19" s="67" t="s">
        <v>15</v>
      </c>
      <c r="C19" s="68" t="s">
        <v>143</v>
      </c>
      <c r="D19" s="68" t="s">
        <v>144</v>
      </c>
      <c r="E19">
        <v>1</v>
      </c>
    </row>
    <row r="20" spans="1:5" ht="15.75">
      <c r="A20" s="66">
        <v>17</v>
      </c>
      <c r="B20" s="1" t="s">
        <v>16</v>
      </c>
      <c r="C20" s="68" t="s">
        <v>145</v>
      </c>
      <c r="D20" s="68" t="s">
        <v>123</v>
      </c>
      <c r="E20">
        <v>1</v>
      </c>
    </row>
    <row r="21" spans="1:5" ht="15.75">
      <c r="A21" s="66">
        <v>18</v>
      </c>
      <c r="B21" s="67" t="s">
        <v>17</v>
      </c>
      <c r="C21" s="68" t="s">
        <v>146</v>
      </c>
      <c r="D21" s="68" t="s">
        <v>147</v>
      </c>
      <c r="E21">
        <v>1</v>
      </c>
    </row>
    <row r="22" spans="1:5" ht="15.75">
      <c r="A22" s="66">
        <v>19</v>
      </c>
      <c r="B22" s="67" t="s">
        <v>148</v>
      </c>
      <c r="C22" s="68" t="s">
        <v>149</v>
      </c>
      <c r="D22" s="68" t="s">
        <v>133</v>
      </c>
      <c r="E22">
        <v>1</v>
      </c>
    </row>
    <row r="23" spans="1:5" ht="15.75">
      <c r="A23" s="66">
        <v>20</v>
      </c>
      <c r="B23" s="67" t="s">
        <v>150</v>
      </c>
      <c r="C23" s="68" t="s">
        <v>151</v>
      </c>
      <c r="D23" s="68" t="s">
        <v>128</v>
      </c>
      <c r="E23">
        <v>1</v>
      </c>
    </row>
    <row r="24" spans="1:5" ht="15.75">
      <c r="A24" s="66">
        <v>21</v>
      </c>
      <c r="B24" s="67" t="s">
        <v>19</v>
      </c>
      <c r="C24" s="68" t="s">
        <v>152</v>
      </c>
      <c r="D24" s="68" t="s">
        <v>147</v>
      </c>
      <c r="E24">
        <v>1</v>
      </c>
    </row>
    <row r="25" spans="1:5" ht="15.75">
      <c r="A25" s="66">
        <v>22</v>
      </c>
      <c r="B25" s="1" t="s">
        <v>18</v>
      </c>
      <c r="C25" s="68" t="s">
        <v>153</v>
      </c>
      <c r="D25" s="68" t="s">
        <v>128</v>
      </c>
      <c r="E25">
        <v>1</v>
      </c>
    </row>
    <row r="26" spans="1:5" ht="15.75">
      <c r="A26" s="66">
        <v>23</v>
      </c>
      <c r="B26" s="67" t="s">
        <v>154</v>
      </c>
      <c r="C26" s="68" t="s">
        <v>155</v>
      </c>
      <c r="D26" s="68" t="s">
        <v>123</v>
      </c>
      <c r="E26">
        <v>1</v>
      </c>
    </row>
    <row r="27" spans="1:4" s="133" customFormat="1" ht="15.75">
      <c r="A27" s="66">
        <v>24</v>
      </c>
      <c r="B27" s="136" t="s">
        <v>274</v>
      </c>
      <c r="C27" s="134" t="s">
        <v>275</v>
      </c>
      <c r="D27" s="134" t="s">
        <v>133</v>
      </c>
    </row>
    <row r="28" spans="1:5" ht="15.75">
      <c r="A28" s="66">
        <v>25</v>
      </c>
      <c r="B28" s="67" t="s">
        <v>156</v>
      </c>
      <c r="C28" s="68" t="s">
        <v>157</v>
      </c>
      <c r="D28" s="68" t="s">
        <v>130</v>
      </c>
      <c r="E28">
        <v>1</v>
      </c>
    </row>
    <row r="29" spans="1:5" ht="15.75">
      <c r="A29" s="66">
        <v>26</v>
      </c>
      <c r="B29" s="67" t="s">
        <v>158</v>
      </c>
      <c r="C29" s="68" t="s">
        <v>159</v>
      </c>
      <c r="D29" s="68" t="s">
        <v>136</v>
      </c>
      <c r="E29">
        <v>1</v>
      </c>
    </row>
    <row r="30" spans="1:5" ht="15.75">
      <c r="A30" s="66">
        <v>27</v>
      </c>
      <c r="B30" s="67" t="s">
        <v>160</v>
      </c>
      <c r="C30" s="68" t="s">
        <v>161</v>
      </c>
      <c r="D30" s="68" t="s">
        <v>123</v>
      </c>
      <c r="E30">
        <v>1</v>
      </c>
    </row>
    <row r="31" spans="1:5" ht="15.75">
      <c r="A31" s="66">
        <v>28</v>
      </c>
      <c r="B31" s="67" t="s">
        <v>162</v>
      </c>
      <c r="C31" s="68" t="s">
        <v>163</v>
      </c>
      <c r="D31" s="68" t="s">
        <v>133</v>
      </c>
      <c r="E31">
        <v>1</v>
      </c>
    </row>
    <row r="32" spans="1:5" ht="15.75">
      <c r="A32" s="66">
        <v>29</v>
      </c>
      <c r="B32" s="67" t="s">
        <v>164</v>
      </c>
      <c r="C32" s="68" t="s">
        <v>165</v>
      </c>
      <c r="D32" s="68" t="s">
        <v>119</v>
      </c>
      <c r="E32">
        <v>1</v>
      </c>
    </row>
    <row r="33" spans="1:5" ht="15.75">
      <c r="A33" s="66">
        <v>30</v>
      </c>
      <c r="B33" s="1" t="s">
        <v>166</v>
      </c>
      <c r="C33" s="68" t="s">
        <v>167</v>
      </c>
      <c r="D33" s="68" t="s">
        <v>121</v>
      </c>
      <c r="E33">
        <v>1</v>
      </c>
    </row>
    <row r="34" spans="1:5" ht="15.75">
      <c r="A34" s="66">
        <v>31</v>
      </c>
      <c r="B34" s="67" t="s">
        <v>168</v>
      </c>
      <c r="C34" s="68" t="s">
        <v>169</v>
      </c>
      <c r="D34" s="68" t="s">
        <v>144</v>
      </c>
      <c r="E34">
        <v>1</v>
      </c>
    </row>
    <row r="35" spans="1:4" s="133" customFormat="1" ht="15.75">
      <c r="A35" s="66">
        <v>32</v>
      </c>
      <c r="B35" s="136" t="s">
        <v>276</v>
      </c>
      <c r="C35" s="134" t="s">
        <v>277</v>
      </c>
      <c r="D35" s="134" t="s">
        <v>147</v>
      </c>
    </row>
    <row r="36" spans="1:4" ht="15.75">
      <c r="A36" s="66">
        <v>33</v>
      </c>
      <c r="B36" s="67" t="s">
        <v>170</v>
      </c>
      <c r="C36" s="68" t="s">
        <v>171</v>
      </c>
      <c r="D36" s="68" t="s">
        <v>128</v>
      </c>
    </row>
    <row r="37" spans="1:4" ht="15.75">
      <c r="A37" s="66">
        <v>34</v>
      </c>
      <c r="B37" s="67" t="s">
        <v>172</v>
      </c>
      <c r="C37" s="68" t="s">
        <v>173</v>
      </c>
      <c r="D37" s="68" t="s">
        <v>128</v>
      </c>
    </row>
    <row r="38" spans="1:4" ht="15.75">
      <c r="A38" s="66">
        <v>35</v>
      </c>
      <c r="B38" s="67" t="s">
        <v>174</v>
      </c>
      <c r="C38" s="68" t="s">
        <v>175</v>
      </c>
      <c r="D38" s="68" t="s">
        <v>128</v>
      </c>
    </row>
    <row r="39" spans="1:4" ht="15.75">
      <c r="A39" s="66">
        <v>36</v>
      </c>
      <c r="B39" s="67" t="s">
        <v>176</v>
      </c>
      <c r="C39" s="68" t="s">
        <v>177</v>
      </c>
      <c r="D39" s="68" t="s">
        <v>128</v>
      </c>
    </row>
    <row r="40" spans="1:4" ht="15.75">
      <c r="A40" s="66">
        <v>37</v>
      </c>
      <c r="B40" s="67" t="s">
        <v>420</v>
      </c>
      <c r="C40" s="185" t="s">
        <v>421</v>
      </c>
      <c r="D40" s="68" t="s">
        <v>128</v>
      </c>
    </row>
    <row r="41" spans="1:4" ht="15.75">
      <c r="A41" s="66">
        <v>37</v>
      </c>
      <c r="B41" s="69" t="s">
        <v>21</v>
      </c>
      <c r="C41" s="68" t="s">
        <v>178</v>
      </c>
      <c r="D41" s="68" t="s">
        <v>128</v>
      </c>
    </row>
    <row r="42" spans="1:4" ht="15.75">
      <c r="A42" s="66">
        <v>38</v>
      </c>
      <c r="B42" s="89" t="s">
        <v>218</v>
      </c>
      <c r="C42" s="68" t="s">
        <v>219</v>
      </c>
      <c r="D42" s="68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10">
      <selection activeCell="D20" sqref="D20"/>
    </sheetView>
  </sheetViews>
  <sheetFormatPr defaultColWidth="9.00390625" defaultRowHeight="15.75"/>
  <cols>
    <col min="1" max="1" width="5.125" style="15" customWidth="1"/>
    <col min="2" max="2" width="35.375" style="15" customWidth="1"/>
    <col min="3" max="3" width="10.625" style="15" customWidth="1"/>
    <col min="4" max="4" width="11.75390625" style="15" customWidth="1"/>
    <col min="5" max="5" width="27.1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37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bổ'!K42</f>
        <v>1031670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bổ'!K43</f>
        <v>2762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8297</v>
      </c>
      <c r="D10" s="12">
        <f>D11+D14</f>
        <v>8297</v>
      </c>
      <c r="E10" s="13"/>
    </row>
    <row r="11" spans="1:5" s="3" customFormat="1" ht="19.5" customHeight="1">
      <c r="A11" s="16">
        <v>1</v>
      </c>
      <c r="B11" s="13" t="s">
        <v>27</v>
      </c>
      <c r="C11" s="17">
        <f>D11</f>
        <v>5274</v>
      </c>
      <c r="D11" s="17">
        <f>Sheet2!DZ20</f>
        <v>5274</v>
      </c>
      <c r="E11" s="18"/>
    </row>
    <row r="12" spans="1:5" s="3" customFormat="1" ht="33.75" customHeight="1">
      <c r="A12" s="77"/>
      <c r="B12" s="102" t="s">
        <v>248</v>
      </c>
      <c r="C12" s="147">
        <f>D12</f>
        <v>123</v>
      </c>
      <c r="D12" s="147">
        <f>Sheet2!AX20</f>
        <v>123</v>
      </c>
      <c r="E12" s="79"/>
    </row>
    <row r="13" spans="1:5" s="3" customFormat="1" ht="33.75" customHeight="1">
      <c r="A13" s="77"/>
      <c r="B13" s="102" t="s">
        <v>417</v>
      </c>
      <c r="C13" s="126">
        <f>D13</f>
        <v>14</v>
      </c>
      <c r="D13" s="147">
        <f>Sheet2!AY20</f>
        <v>14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3023</v>
      </c>
      <c r="D14" s="17">
        <f>Sheet2!EA20</f>
        <v>3023</v>
      </c>
      <c r="E14" s="80"/>
    </row>
    <row r="15" spans="1:5" s="14" customFormat="1" ht="16.5">
      <c r="A15" s="16"/>
      <c r="B15" s="108" t="s">
        <v>214</v>
      </c>
      <c r="C15" s="145">
        <f aca="true" t="shared" si="0" ref="C15:C22">SUM(D15:D15)</f>
        <v>0</v>
      </c>
      <c r="D15" s="145"/>
      <c r="E15" s="80"/>
    </row>
    <row r="16" spans="1:5" s="14" customFormat="1" ht="30">
      <c r="A16" s="13"/>
      <c r="B16" s="101" t="s">
        <v>208</v>
      </c>
      <c r="C16" s="145">
        <f t="shared" si="0"/>
        <v>81</v>
      </c>
      <c r="D16" s="146">
        <f>Sheet2!BH20</f>
        <v>81</v>
      </c>
      <c r="E16" s="81"/>
    </row>
    <row r="17" spans="1:5" s="14" customFormat="1" ht="30">
      <c r="A17" s="13"/>
      <c r="B17" s="101" t="s">
        <v>207</v>
      </c>
      <c r="C17" s="145">
        <f t="shared" si="0"/>
        <v>313</v>
      </c>
      <c r="D17" s="146">
        <f>Sheet2!BI20</f>
        <v>313</v>
      </c>
      <c r="E17" s="81"/>
    </row>
    <row r="18" spans="1:5" s="14" customFormat="1" ht="30">
      <c r="A18" s="13"/>
      <c r="B18" s="101" t="s">
        <v>209</v>
      </c>
      <c r="C18" s="145">
        <f t="shared" si="0"/>
        <v>2617</v>
      </c>
      <c r="D18" s="146">
        <f>Sheet2!BJ20</f>
        <v>2617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46">
        <f>Sheet2!BK20</f>
        <v>0</v>
      </c>
      <c r="E19" s="81"/>
    </row>
    <row r="20" spans="1:5" s="14" customFormat="1" ht="30">
      <c r="A20" s="13"/>
      <c r="B20" s="101" t="s">
        <v>211</v>
      </c>
      <c r="C20" s="145">
        <f t="shared" si="0"/>
        <v>12</v>
      </c>
      <c r="D20" s="146">
        <f>Sheet2!BL20</f>
        <v>12</v>
      </c>
      <c r="E20" s="81"/>
    </row>
    <row r="21" spans="1:5" s="14" customFormat="1" ht="16.5">
      <c r="A21" s="13"/>
      <c r="B21" s="101"/>
      <c r="C21" s="17">
        <f t="shared" si="0"/>
        <v>0</v>
      </c>
      <c r="D21" s="81"/>
      <c r="E21" s="81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E7:E8"/>
    <mergeCell ref="A1:E1"/>
    <mergeCell ref="A2:E2"/>
    <mergeCell ref="A5:E5"/>
    <mergeCell ref="A7:A8"/>
    <mergeCell ref="B7:B8"/>
    <mergeCell ref="C7:C8"/>
    <mergeCell ref="A3:B3"/>
    <mergeCell ref="A4:B4"/>
    <mergeCell ref="D7:D8"/>
  </mergeCells>
  <printOptions/>
  <pageMargins left="0.54" right="0.54" top="0.75" bottom="0.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8">
      <selection activeCell="D21" sqref="D21"/>
    </sheetView>
  </sheetViews>
  <sheetFormatPr defaultColWidth="9.00390625" defaultRowHeight="15.75"/>
  <cols>
    <col min="1" max="1" width="5.125" style="15" customWidth="1"/>
    <col min="2" max="2" width="36.50390625" style="15" customWidth="1"/>
    <col min="3" max="3" width="10.625" style="15" customWidth="1"/>
    <col min="4" max="4" width="11.75390625" style="15" customWidth="1"/>
    <col min="5" max="5" width="24.753906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38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bổ'!L42</f>
        <v>1031671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bổ'!L43</f>
        <v>2761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10962</v>
      </c>
      <c r="D10" s="12">
        <f>D11+D14</f>
        <v>10962</v>
      </c>
      <c r="E10" s="13"/>
    </row>
    <row r="11" spans="1:5" s="3" customFormat="1" ht="19.5" customHeight="1">
      <c r="A11" s="16">
        <v>1</v>
      </c>
      <c r="B11" s="13" t="s">
        <v>27</v>
      </c>
      <c r="C11" s="17">
        <f>D11</f>
        <v>8587</v>
      </c>
      <c r="D11" s="17">
        <f>Sheet2!DZ21</f>
        <v>8587</v>
      </c>
      <c r="E11" s="18"/>
    </row>
    <row r="12" spans="1:5" s="3" customFormat="1" ht="33" customHeight="1">
      <c r="A12" s="77"/>
      <c r="B12" s="102" t="s">
        <v>248</v>
      </c>
      <c r="C12" s="147">
        <f>D12</f>
        <v>123</v>
      </c>
      <c r="D12" s="147">
        <f>Sheet2!AX21</f>
        <v>123</v>
      </c>
      <c r="E12" s="79"/>
    </row>
    <row r="13" spans="1:5" s="3" customFormat="1" ht="33" customHeight="1">
      <c r="A13" s="77"/>
      <c r="B13" s="102" t="s">
        <v>417</v>
      </c>
      <c r="C13" s="126">
        <f>D13</f>
        <v>14</v>
      </c>
      <c r="D13" s="147">
        <f>Sheet2!AY21</f>
        <v>14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2375</v>
      </c>
      <c r="D14" s="17">
        <f>Sheet2!EA21</f>
        <v>2375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2">SUM(D15:D15)</f>
        <v>0</v>
      </c>
      <c r="D15" s="17"/>
      <c r="E15" s="80"/>
    </row>
    <row r="16" spans="1:5" s="14" customFormat="1" ht="30">
      <c r="A16" s="13"/>
      <c r="B16" s="101" t="s">
        <v>208</v>
      </c>
      <c r="C16" s="145">
        <f t="shared" si="0"/>
        <v>94</v>
      </c>
      <c r="D16" s="146">
        <f>Sheet2!BH21</f>
        <v>94</v>
      </c>
      <c r="E16" s="81"/>
    </row>
    <row r="17" spans="1:5" s="14" customFormat="1" ht="30">
      <c r="A17" s="13"/>
      <c r="B17" s="101" t="s">
        <v>207</v>
      </c>
      <c r="C17" s="145">
        <f t="shared" si="0"/>
        <v>137</v>
      </c>
      <c r="D17" s="146">
        <f>Sheet2!BI21</f>
        <v>137</v>
      </c>
      <c r="E17" s="81"/>
    </row>
    <row r="18" spans="1:5" s="14" customFormat="1" ht="30">
      <c r="A18" s="13"/>
      <c r="B18" s="101" t="s">
        <v>209</v>
      </c>
      <c r="C18" s="145">
        <f t="shared" si="0"/>
        <v>2144</v>
      </c>
      <c r="D18" s="146">
        <f>Sheet2!BJ21</f>
        <v>2144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25">
        <f>Sheet2!BK21</f>
        <v>0</v>
      </c>
      <c r="E19" s="81"/>
    </row>
    <row r="20" spans="1:5" s="14" customFormat="1" ht="30">
      <c r="A20" s="13"/>
      <c r="B20" s="101" t="s">
        <v>211</v>
      </c>
      <c r="C20" s="145">
        <f t="shared" si="0"/>
        <v>0</v>
      </c>
      <c r="D20" s="125">
        <f>Sheet2!BL21</f>
        <v>0</v>
      </c>
      <c r="E20" s="81"/>
    </row>
    <row r="21" spans="1:5" s="14" customFormat="1" ht="16.5">
      <c r="A21" s="13"/>
      <c r="B21" s="101"/>
      <c r="C21" s="17">
        <f t="shared" si="0"/>
        <v>0</v>
      </c>
      <c r="D21" s="81"/>
      <c r="E21" s="81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E7:E8"/>
    <mergeCell ref="A1:E1"/>
    <mergeCell ref="A2:E2"/>
    <mergeCell ref="A5:E5"/>
    <mergeCell ref="A7:A8"/>
    <mergeCell ref="B7:B8"/>
    <mergeCell ref="C7:C8"/>
    <mergeCell ref="A3:B3"/>
    <mergeCell ref="A4:B4"/>
    <mergeCell ref="D7:D8"/>
  </mergeCells>
  <printOptions/>
  <pageMargins left="0.7" right="0.49" top="0.75" bottom="0.75" header="0.3" footer="0.3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8">
      <selection activeCell="D21" sqref="D21"/>
    </sheetView>
  </sheetViews>
  <sheetFormatPr defaultColWidth="9.00390625" defaultRowHeight="15.75"/>
  <cols>
    <col min="1" max="1" width="5.125" style="15" customWidth="1"/>
    <col min="2" max="2" width="35.25390625" style="15" customWidth="1"/>
    <col min="3" max="3" width="10.625" style="15" customWidth="1"/>
    <col min="4" max="4" width="11.75390625" style="15" customWidth="1"/>
    <col min="5" max="5" width="25.503906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39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bổ'!M42</f>
        <v>1031763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bổ'!M43</f>
        <v>2766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10652</v>
      </c>
      <c r="D10" s="12">
        <f>D11+D14</f>
        <v>10652</v>
      </c>
      <c r="E10" s="13"/>
    </row>
    <row r="11" spans="1:5" s="3" customFormat="1" ht="19.5" customHeight="1">
      <c r="A11" s="16">
        <v>1</v>
      </c>
      <c r="B11" s="13" t="s">
        <v>27</v>
      </c>
      <c r="C11" s="17">
        <f>D11</f>
        <v>5613</v>
      </c>
      <c r="D11" s="17">
        <f>Sheet2!DZ22</f>
        <v>5613</v>
      </c>
      <c r="E11" s="18"/>
    </row>
    <row r="12" spans="1:5" s="3" customFormat="1" ht="35.25" customHeight="1">
      <c r="A12" s="77"/>
      <c r="B12" s="102" t="s">
        <v>248</v>
      </c>
      <c r="C12" s="147">
        <f>D12</f>
        <v>124</v>
      </c>
      <c r="D12" s="147">
        <f>Sheet2!AX22</f>
        <v>124</v>
      </c>
      <c r="E12" s="79"/>
    </row>
    <row r="13" spans="1:5" s="3" customFormat="1" ht="35.25" customHeight="1">
      <c r="A13" s="77"/>
      <c r="B13" s="102" t="s">
        <v>417</v>
      </c>
      <c r="C13" s="126">
        <f>D13</f>
        <v>14</v>
      </c>
      <c r="D13" s="147">
        <f>Sheet2!AY22</f>
        <v>14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5039</v>
      </c>
      <c r="D14" s="17">
        <f>Sheet2!EA22</f>
        <v>5039</v>
      </c>
      <c r="E14" s="80"/>
    </row>
    <row r="15" spans="1:5" s="14" customFormat="1" ht="16.5">
      <c r="A15" s="16"/>
      <c r="B15" s="108" t="s">
        <v>214</v>
      </c>
      <c r="C15" s="145">
        <f aca="true" t="shared" si="0" ref="C15:C22">SUM(D15:D15)</f>
        <v>0</v>
      </c>
      <c r="D15" s="145"/>
      <c r="E15" s="80"/>
    </row>
    <row r="16" spans="1:5" s="14" customFormat="1" ht="30">
      <c r="A16" s="13"/>
      <c r="B16" s="101" t="s">
        <v>208</v>
      </c>
      <c r="C16" s="145">
        <f t="shared" si="0"/>
        <v>80</v>
      </c>
      <c r="D16" s="146">
        <f>Sheet2!BH22</f>
        <v>80</v>
      </c>
      <c r="E16" s="81"/>
    </row>
    <row r="17" spans="1:5" s="14" customFormat="1" ht="30">
      <c r="A17" s="13"/>
      <c r="B17" s="101" t="s">
        <v>207</v>
      </c>
      <c r="C17" s="145">
        <f t="shared" si="0"/>
        <v>288</v>
      </c>
      <c r="D17" s="146">
        <f>Sheet2!BI22</f>
        <v>288</v>
      </c>
      <c r="E17" s="81"/>
    </row>
    <row r="18" spans="1:5" s="14" customFormat="1" ht="30">
      <c r="A18" s="13"/>
      <c r="B18" s="101" t="s">
        <v>209</v>
      </c>
      <c r="C18" s="145">
        <f t="shared" si="0"/>
        <v>4671</v>
      </c>
      <c r="D18" s="146">
        <f>Sheet2!BJ22</f>
        <v>4671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25">
        <f>Sheet2!BK22</f>
        <v>0</v>
      </c>
      <c r="E19" s="81"/>
    </row>
    <row r="20" spans="1:5" s="14" customFormat="1" ht="30">
      <c r="A20" s="13"/>
      <c r="B20" s="101" t="s">
        <v>211</v>
      </c>
      <c r="C20" s="145">
        <f t="shared" si="0"/>
        <v>0</v>
      </c>
      <c r="D20" s="125">
        <f>Sheet2!BL22</f>
        <v>0</v>
      </c>
      <c r="E20" s="81"/>
    </row>
    <row r="21" spans="1:5" s="14" customFormat="1" ht="16.5">
      <c r="A21" s="13"/>
      <c r="B21" s="101"/>
      <c r="C21" s="17">
        <f t="shared" si="0"/>
        <v>0</v>
      </c>
      <c r="D21" s="81"/>
      <c r="E21" s="81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E7:E8"/>
    <mergeCell ref="A1:E1"/>
    <mergeCell ref="A2:E2"/>
    <mergeCell ref="A5:E5"/>
    <mergeCell ref="A7:A8"/>
    <mergeCell ref="B7:B8"/>
    <mergeCell ref="C7:C8"/>
    <mergeCell ref="A3:B3"/>
    <mergeCell ref="A4:B4"/>
    <mergeCell ref="D7:D8"/>
  </mergeCells>
  <printOptions/>
  <pageMargins left="0.7" right="0.5" top="0.75" bottom="0.75" header="0.3" footer="0.3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8">
      <selection activeCell="D21" sqref="D21"/>
    </sheetView>
  </sheetViews>
  <sheetFormatPr defaultColWidth="9.00390625" defaultRowHeight="15.75"/>
  <cols>
    <col min="1" max="1" width="5.125" style="15" customWidth="1"/>
    <col min="2" max="2" width="36.125" style="15" customWidth="1"/>
    <col min="3" max="3" width="10.625" style="15" customWidth="1"/>
    <col min="4" max="4" width="10.875" style="15" customWidth="1"/>
    <col min="5" max="5" width="27.1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40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bổ'!N42</f>
        <v>1031708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bổ'!N43</f>
        <v>2761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10892</v>
      </c>
      <c r="D10" s="12">
        <f>D11+D14</f>
        <v>10892</v>
      </c>
      <c r="E10" s="13"/>
    </row>
    <row r="11" spans="1:5" s="3" customFormat="1" ht="19.5" customHeight="1">
      <c r="A11" s="16">
        <v>1</v>
      </c>
      <c r="B11" s="13" t="s">
        <v>27</v>
      </c>
      <c r="C11" s="17">
        <f>D11</f>
        <v>9370</v>
      </c>
      <c r="D11" s="17">
        <f>Sheet2!DZ23</f>
        <v>9370</v>
      </c>
      <c r="E11" s="18"/>
    </row>
    <row r="12" spans="1:5" s="3" customFormat="1" ht="30.75" customHeight="1">
      <c r="A12" s="77"/>
      <c r="B12" s="102" t="s">
        <v>248</v>
      </c>
      <c r="C12" s="147">
        <f>D12</f>
        <v>123</v>
      </c>
      <c r="D12" s="147">
        <f>Sheet2!AX23</f>
        <v>123</v>
      </c>
      <c r="E12" s="79"/>
    </row>
    <row r="13" spans="1:5" s="3" customFormat="1" ht="30.75" customHeight="1">
      <c r="A13" s="77"/>
      <c r="B13" s="102" t="s">
        <v>417</v>
      </c>
      <c r="C13" s="126">
        <f>D13</f>
        <v>14</v>
      </c>
      <c r="D13" s="147">
        <f>Sheet2!AY23</f>
        <v>14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1522</v>
      </c>
      <c r="D14" s="17">
        <f>Sheet2!EA23</f>
        <v>1522</v>
      </c>
      <c r="E14" s="80"/>
    </row>
    <row r="15" spans="1:5" s="14" customFormat="1" ht="16.5">
      <c r="A15" s="16"/>
      <c r="B15" s="108" t="s">
        <v>214</v>
      </c>
      <c r="C15" s="145">
        <f aca="true" t="shared" si="0" ref="C15:C22">SUM(D15:D15)</f>
        <v>0</v>
      </c>
      <c r="D15" s="145"/>
      <c r="E15" s="80"/>
    </row>
    <row r="16" spans="1:5" s="14" customFormat="1" ht="30">
      <c r="A16" s="13"/>
      <c r="B16" s="101" t="s">
        <v>208</v>
      </c>
      <c r="C16" s="145">
        <f t="shared" si="0"/>
        <v>111</v>
      </c>
      <c r="D16" s="146">
        <f>Sheet2!BH23</f>
        <v>111</v>
      </c>
      <c r="E16" s="81"/>
    </row>
    <row r="17" spans="1:5" s="14" customFormat="1" ht="30">
      <c r="A17" s="13"/>
      <c r="B17" s="101" t="s">
        <v>207</v>
      </c>
      <c r="C17" s="145">
        <f t="shared" si="0"/>
        <v>63</v>
      </c>
      <c r="D17" s="146">
        <f>Sheet2!BI23</f>
        <v>63</v>
      </c>
      <c r="E17" s="81"/>
    </row>
    <row r="18" spans="1:5" s="14" customFormat="1" ht="30">
      <c r="A18" s="13"/>
      <c r="B18" s="101" t="s">
        <v>209</v>
      </c>
      <c r="C18" s="145">
        <f t="shared" si="0"/>
        <v>1348</v>
      </c>
      <c r="D18" s="146">
        <f>Sheet2!BJ23</f>
        <v>1348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25">
        <f>Sheet2!BK23</f>
        <v>0</v>
      </c>
      <c r="E19" s="81"/>
    </row>
    <row r="20" spans="1:5" s="14" customFormat="1" ht="30">
      <c r="A20" s="13"/>
      <c r="B20" s="101" t="s">
        <v>211</v>
      </c>
      <c r="C20" s="145">
        <f t="shared" si="0"/>
        <v>0</v>
      </c>
      <c r="D20" s="125">
        <f>Sheet2!BL23</f>
        <v>0</v>
      </c>
      <c r="E20" s="81"/>
    </row>
    <row r="21" spans="1:5" s="14" customFormat="1" ht="16.5">
      <c r="A21" s="13"/>
      <c r="B21" s="101"/>
      <c r="C21" s="17">
        <f t="shared" si="0"/>
        <v>0</v>
      </c>
      <c r="D21" s="81"/>
      <c r="E21" s="81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E7:E8"/>
    <mergeCell ref="A1:E1"/>
    <mergeCell ref="A2:E2"/>
    <mergeCell ref="A5:E5"/>
    <mergeCell ref="A7:A8"/>
    <mergeCell ref="B7:B8"/>
    <mergeCell ref="C7:C8"/>
    <mergeCell ref="A3:B3"/>
    <mergeCell ref="A4:B4"/>
    <mergeCell ref="D7:D8"/>
  </mergeCells>
  <printOptions/>
  <pageMargins left="0.59" right="0.5" top="0.75" bottom="0.75" header="0.3" footer="0.3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1">
      <selection activeCell="D21" sqref="D21"/>
    </sheetView>
  </sheetViews>
  <sheetFormatPr defaultColWidth="9.00390625" defaultRowHeight="15.75"/>
  <cols>
    <col min="1" max="1" width="5.125" style="15" customWidth="1"/>
    <col min="2" max="2" width="35.25390625" style="15" customWidth="1"/>
    <col min="3" max="3" width="10.625" style="15" customWidth="1"/>
    <col min="4" max="4" width="11.75390625" style="15" customWidth="1"/>
    <col min="5" max="5" width="24.87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41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2">
        <f>'Phân bổ'!Q42</f>
        <v>1033924</v>
      </c>
      <c r="D3" s="72"/>
      <c r="E3" s="72"/>
    </row>
    <row r="4" spans="1:5" s="4" customFormat="1" ht="15" customHeight="1">
      <c r="A4" s="410" t="s">
        <v>184</v>
      </c>
      <c r="B4" s="410"/>
      <c r="C4" s="72">
        <f>'Phân bổ'!Q43</f>
        <v>2769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9839</v>
      </c>
      <c r="D10" s="12">
        <f>D11+D14</f>
        <v>9839</v>
      </c>
      <c r="E10" s="13"/>
    </row>
    <row r="11" spans="1:5" s="3" customFormat="1" ht="19.5" customHeight="1">
      <c r="A11" s="16">
        <v>1</v>
      </c>
      <c r="B11" s="13" t="s">
        <v>27</v>
      </c>
      <c r="C11" s="17">
        <f>D11</f>
        <v>6792</v>
      </c>
      <c r="D11" s="17">
        <f>Sheet2!DZ24</f>
        <v>6792</v>
      </c>
      <c r="E11" s="18"/>
    </row>
    <row r="12" spans="1:5" s="3" customFormat="1" ht="33" customHeight="1">
      <c r="A12" s="77"/>
      <c r="B12" s="102" t="s">
        <v>248</v>
      </c>
      <c r="C12" s="147">
        <f>D12</f>
        <v>131</v>
      </c>
      <c r="D12" s="147">
        <f>Sheet2!AX24</f>
        <v>131</v>
      </c>
      <c r="E12" s="79"/>
    </row>
    <row r="13" spans="1:5" s="3" customFormat="1" ht="33" customHeight="1">
      <c r="A13" s="77"/>
      <c r="B13" s="102" t="s">
        <v>417</v>
      </c>
      <c r="C13" s="126">
        <f>D13</f>
        <v>15</v>
      </c>
      <c r="D13" s="147">
        <f>Sheet2!AY24</f>
        <v>15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3047</v>
      </c>
      <c r="D14" s="17">
        <f>Sheet2!EA24</f>
        <v>3047</v>
      </c>
      <c r="E14" s="80"/>
    </row>
    <row r="15" spans="1:5" s="14" customFormat="1" ht="16.5">
      <c r="A15" s="16"/>
      <c r="B15" s="108" t="s">
        <v>214</v>
      </c>
      <c r="C15" s="145">
        <f aca="true" t="shared" si="0" ref="C15:C22">SUM(D15:D15)</f>
        <v>0</v>
      </c>
      <c r="D15" s="145"/>
      <c r="E15" s="80"/>
    </row>
    <row r="16" spans="1:5" s="14" customFormat="1" ht="30">
      <c r="A16" s="13"/>
      <c r="B16" s="101" t="s">
        <v>208</v>
      </c>
      <c r="C16" s="145">
        <f t="shared" si="0"/>
        <v>80</v>
      </c>
      <c r="D16" s="146">
        <f>Sheet2!BH24</f>
        <v>80</v>
      </c>
      <c r="E16" s="81"/>
    </row>
    <row r="17" spans="1:5" s="14" customFormat="1" ht="30">
      <c r="A17" s="13"/>
      <c r="B17" s="101" t="s">
        <v>207</v>
      </c>
      <c r="C17" s="145">
        <f t="shared" si="0"/>
        <v>240</v>
      </c>
      <c r="D17" s="146">
        <f>Sheet2!BI24</f>
        <v>240</v>
      </c>
      <c r="E17" s="81"/>
    </row>
    <row r="18" spans="1:5" s="14" customFormat="1" ht="30">
      <c r="A18" s="13"/>
      <c r="B18" s="101" t="s">
        <v>209</v>
      </c>
      <c r="C18" s="145">
        <f t="shared" si="0"/>
        <v>2668</v>
      </c>
      <c r="D18" s="146">
        <f>Sheet2!BJ24</f>
        <v>2668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25">
        <f>Sheet2!BK24</f>
        <v>0</v>
      </c>
      <c r="E19" s="81"/>
    </row>
    <row r="20" spans="1:5" s="14" customFormat="1" ht="30">
      <c r="A20" s="13"/>
      <c r="B20" s="101" t="s">
        <v>211</v>
      </c>
      <c r="C20" s="145">
        <f t="shared" si="0"/>
        <v>59</v>
      </c>
      <c r="D20" s="125">
        <f>Sheet2!BL24</f>
        <v>59</v>
      </c>
      <c r="E20" s="81"/>
    </row>
    <row r="21" spans="1:5" s="14" customFormat="1" ht="16.5">
      <c r="A21" s="13"/>
      <c r="B21" s="101"/>
      <c r="C21" s="17">
        <f t="shared" si="0"/>
        <v>0</v>
      </c>
      <c r="D21" s="81"/>
      <c r="E21" s="81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E7:E8"/>
    <mergeCell ref="A1:E1"/>
    <mergeCell ref="A2:E2"/>
    <mergeCell ref="A5:E5"/>
    <mergeCell ref="A7:A8"/>
    <mergeCell ref="B7:B8"/>
    <mergeCell ref="C7:C8"/>
    <mergeCell ref="A3:B3"/>
    <mergeCell ref="A4:B4"/>
    <mergeCell ref="D7:D8"/>
  </mergeCells>
  <printOptions/>
  <pageMargins left="0.7" right="0.56" top="0.75" bottom="0.75" header="0.3" footer="0.3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8">
      <selection activeCell="D20" sqref="D20"/>
    </sheetView>
  </sheetViews>
  <sheetFormatPr defaultColWidth="9.00390625" defaultRowHeight="15.75"/>
  <cols>
    <col min="1" max="1" width="5.125" style="15" customWidth="1"/>
    <col min="2" max="2" width="36.125" style="15" customWidth="1"/>
    <col min="3" max="3" width="10.625" style="15" customWidth="1"/>
    <col min="4" max="4" width="11.75390625" style="15" customWidth="1"/>
    <col min="5" max="5" width="24.87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42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4" t="str">
        <f>'Phân bổ'!O42</f>
        <v>1033929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bổ'!O43</f>
        <v>2761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7572</v>
      </c>
      <c r="D10" s="12">
        <f>D11+D14</f>
        <v>7572</v>
      </c>
      <c r="E10" s="13"/>
    </row>
    <row r="11" spans="1:5" s="3" customFormat="1" ht="19.5" customHeight="1">
      <c r="A11" s="16">
        <v>1</v>
      </c>
      <c r="B11" s="13" t="s">
        <v>27</v>
      </c>
      <c r="C11" s="17">
        <f>D11</f>
        <v>6647</v>
      </c>
      <c r="D11" s="17">
        <f>Sheet2!DZ25</f>
        <v>6647</v>
      </c>
      <c r="E11" s="18"/>
    </row>
    <row r="12" spans="1:5" s="3" customFormat="1" ht="34.5" customHeight="1">
      <c r="A12" s="77"/>
      <c r="B12" s="102" t="s">
        <v>248</v>
      </c>
      <c r="C12" s="147">
        <f>D12</f>
        <v>112</v>
      </c>
      <c r="D12" s="147">
        <f>Sheet2!AX25</f>
        <v>112</v>
      </c>
      <c r="E12" s="79"/>
    </row>
    <row r="13" spans="1:5" s="3" customFormat="1" ht="34.5" customHeight="1">
      <c r="A13" s="77"/>
      <c r="B13" s="102" t="s">
        <v>417</v>
      </c>
      <c r="C13" s="126">
        <f>D13</f>
        <v>13</v>
      </c>
      <c r="D13" s="147">
        <f>Sheet2!AY25</f>
        <v>13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925</v>
      </c>
      <c r="D14" s="17">
        <f>Sheet2!EA25</f>
        <v>925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2">SUM(D15:D15)</f>
        <v>0</v>
      </c>
      <c r="D15" s="17"/>
      <c r="E15" s="80"/>
    </row>
    <row r="16" spans="1:5" s="14" customFormat="1" ht="30">
      <c r="A16" s="13"/>
      <c r="B16" s="101" t="s">
        <v>208</v>
      </c>
      <c r="C16" s="145">
        <f t="shared" si="0"/>
        <v>46</v>
      </c>
      <c r="D16" s="146">
        <f>Sheet2!BH25</f>
        <v>46</v>
      </c>
      <c r="E16" s="81"/>
    </row>
    <row r="17" spans="1:5" s="14" customFormat="1" ht="30">
      <c r="A17" s="13"/>
      <c r="B17" s="101" t="s">
        <v>207</v>
      </c>
      <c r="C17" s="145">
        <f t="shared" si="0"/>
        <v>81</v>
      </c>
      <c r="D17" s="146">
        <f>Sheet2!BI25</f>
        <v>81</v>
      </c>
      <c r="E17" s="81"/>
    </row>
    <row r="18" spans="1:5" s="14" customFormat="1" ht="30">
      <c r="A18" s="13"/>
      <c r="B18" s="101" t="s">
        <v>209</v>
      </c>
      <c r="C18" s="145">
        <f t="shared" si="0"/>
        <v>786</v>
      </c>
      <c r="D18" s="146">
        <f>Sheet2!BJ25</f>
        <v>786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25">
        <f>Sheet2!BK25</f>
        <v>0</v>
      </c>
      <c r="E19" s="81"/>
    </row>
    <row r="20" spans="1:5" s="14" customFormat="1" ht="30">
      <c r="A20" s="13"/>
      <c r="B20" s="101" t="s">
        <v>211</v>
      </c>
      <c r="C20" s="145">
        <f t="shared" si="0"/>
        <v>12</v>
      </c>
      <c r="D20" s="125">
        <f>Sheet2!BL25</f>
        <v>12</v>
      </c>
      <c r="E20" s="81"/>
    </row>
    <row r="21" spans="1:5" s="14" customFormat="1" ht="16.5">
      <c r="A21" s="13"/>
      <c r="B21" s="101"/>
      <c r="C21" s="17">
        <f t="shared" si="0"/>
        <v>0</v>
      </c>
      <c r="D21" s="81"/>
      <c r="E21" s="81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E7:E8"/>
    <mergeCell ref="A1:E1"/>
    <mergeCell ref="A2:E2"/>
    <mergeCell ref="A5:E5"/>
    <mergeCell ref="A7:A8"/>
    <mergeCell ref="B7:B8"/>
    <mergeCell ref="C7:C8"/>
    <mergeCell ref="A3:B3"/>
    <mergeCell ref="A4:B4"/>
    <mergeCell ref="D7:D8"/>
  </mergeCells>
  <printOptions/>
  <pageMargins left="0.7" right="0.47" top="0.75" bottom="0.75" header="0.3" footer="0.3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8">
      <selection activeCell="D20" sqref="D20"/>
    </sheetView>
  </sheetViews>
  <sheetFormatPr defaultColWidth="9.00390625" defaultRowHeight="15.75"/>
  <cols>
    <col min="1" max="1" width="5.125" style="15" customWidth="1"/>
    <col min="2" max="2" width="36.00390625" style="15" customWidth="1"/>
    <col min="3" max="3" width="10.625" style="15" customWidth="1"/>
    <col min="4" max="4" width="11.75390625" style="15" customWidth="1"/>
    <col min="5" max="5" width="26.753906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43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bổ'!P42</f>
        <v>1033362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bổ'!P43</f>
        <v>2766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6538</v>
      </c>
      <c r="D10" s="12">
        <f>D11+D14</f>
        <v>6538</v>
      </c>
      <c r="E10" s="13"/>
    </row>
    <row r="11" spans="1:5" s="3" customFormat="1" ht="19.5" customHeight="1">
      <c r="A11" s="16">
        <v>1</v>
      </c>
      <c r="B11" s="13" t="s">
        <v>27</v>
      </c>
      <c r="C11" s="17">
        <f>D11</f>
        <v>4764</v>
      </c>
      <c r="D11" s="17">
        <f>Sheet2!DZ26</f>
        <v>4764</v>
      </c>
      <c r="E11" s="18"/>
    </row>
    <row r="12" spans="1:5" s="3" customFormat="1" ht="33.75" customHeight="1">
      <c r="A12" s="77"/>
      <c r="B12" s="102" t="s">
        <v>248</v>
      </c>
      <c r="C12" s="147">
        <f>D12</f>
        <v>101</v>
      </c>
      <c r="D12" s="147">
        <f>Sheet2!AX26</f>
        <v>101</v>
      </c>
      <c r="E12" s="79"/>
    </row>
    <row r="13" spans="1:5" s="3" customFormat="1" ht="33.75" customHeight="1">
      <c r="A13" s="77"/>
      <c r="B13" s="102" t="s">
        <v>417</v>
      </c>
      <c r="C13" s="126">
        <f>D13</f>
        <v>12</v>
      </c>
      <c r="D13" s="147">
        <f>Sheet2!AY26</f>
        <v>12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1774</v>
      </c>
      <c r="D14" s="17">
        <f>Sheet2!EA26</f>
        <v>1774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2">SUM(D15:D15)</f>
        <v>0</v>
      </c>
      <c r="D15" s="17"/>
      <c r="E15" s="80"/>
    </row>
    <row r="16" spans="1:5" s="14" customFormat="1" ht="30">
      <c r="A16" s="13"/>
      <c r="B16" s="101" t="s">
        <v>208</v>
      </c>
      <c r="C16" s="145">
        <f t="shared" si="0"/>
        <v>47</v>
      </c>
      <c r="D16" s="146">
        <f>Sheet2!BH26</f>
        <v>47</v>
      </c>
      <c r="E16" s="81"/>
    </row>
    <row r="17" spans="1:5" s="14" customFormat="1" ht="30">
      <c r="A17" s="13"/>
      <c r="B17" s="101" t="s">
        <v>207</v>
      </c>
      <c r="C17" s="145">
        <f t="shared" si="0"/>
        <v>144</v>
      </c>
      <c r="D17" s="146">
        <f>Sheet2!BI26</f>
        <v>144</v>
      </c>
      <c r="E17" s="81"/>
    </row>
    <row r="18" spans="1:5" s="14" customFormat="1" ht="30">
      <c r="A18" s="13"/>
      <c r="B18" s="101" t="s">
        <v>209</v>
      </c>
      <c r="C18" s="145">
        <f t="shared" si="0"/>
        <v>1571</v>
      </c>
      <c r="D18" s="146">
        <f>Sheet2!BJ26</f>
        <v>1571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25">
        <f>Sheet2!BK26</f>
        <v>0</v>
      </c>
      <c r="E19" s="81"/>
    </row>
    <row r="20" spans="1:5" s="14" customFormat="1" ht="30">
      <c r="A20" s="13"/>
      <c r="B20" s="101" t="s">
        <v>211</v>
      </c>
      <c r="C20" s="145">
        <f t="shared" si="0"/>
        <v>12</v>
      </c>
      <c r="D20" s="125">
        <f>Sheet2!BL26</f>
        <v>12</v>
      </c>
      <c r="E20" s="81"/>
    </row>
    <row r="21" spans="1:5" s="14" customFormat="1" ht="16.5">
      <c r="A21" s="13"/>
      <c r="B21" s="101"/>
      <c r="C21" s="17">
        <f t="shared" si="0"/>
        <v>0</v>
      </c>
      <c r="D21" s="81"/>
      <c r="E21" s="81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E7:E8"/>
    <mergeCell ref="A1:E1"/>
    <mergeCell ref="A2:E2"/>
    <mergeCell ref="A5:E5"/>
    <mergeCell ref="A7:A8"/>
    <mergeCell ref="B7:B8"/>
    <mergeCell ref="C7:C8"/>
    <mergeCell ref="A3:B3"/>
    <mergeCell ref="A4:B4"/>
    <mergeCell ref="D7:D8"/>
  </mergeCells>
  <printOptions/>
  <pageMargins left="0.63" right="0.45" top="0.75" bottom="0.75" header="0.3" footer="0.3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13">
      <selection activeCell="D20" sqref="D20"/>
    </sheetView>
  </sheetViews>
  <sheetFormatPr defaultColWidth="9.00390625" defaultRowHeight="15.75"/>
  <cols>
    <col min="1" max="1" width="5.125" style="15" customWidth="1"/>
    <col min="2" max="2" width="36.75390625" style="15" customWidth="1"/>
    <col min="3" max="3" width="10.625" style="15" customWidth="1"/>
    <col min="4" max="4" width="11.75390625" style="15" customWidth="1"/>
    <col min="5" max="5" width="24.87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44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bổ'!R42</f>
        <v>1033926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bổ'!R43</f>
        <v>2767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8048</v>
      </c>
      <c r="D10" s="12">
        <f>D11+D14</f>
        <v>8048</v>
      </c>
      <c r="E10" s="13"/>
    </row>
    <row r="11" spans="1:5" s="3" customFormat="1" ht="19.5" customHeight="1">
      <c r="A11" s="16">
        <v>1</v>
      </c>
      <c r="B11" s="13" t="s">
        <v>27</v>
      </c>
      <c r="C11" s="17">
        <f>D11</f>
        <v>6058</v>
      </c>
      <c r="D11" s="17">
        <f>Sheet2!DZ27</f>
        <v>6058</v>
      </c>
      <c r="E11" s="18"/>
    </row>
    <row r="12" spans="1:5" s="3" customFormat="1" ht="31.5" customHeight="1">
      <c r="A12" s="77"/>
      <c r="B12" s="102" t="s">
        <v>248</v>
      </c>
      <c r="C12" s="147">
        <f>D12</f>
        <v>107</v>
      </c>
      <c r="D12" s="147">
        <f>Sheet2!AX27</f>
        <v>107</v>
      </c>
      <c r="E12" s="79"/>
    </row>
    <row r="13" spans="1:5" s="3" customFormat="1" ht="31.5" customHeight="1">
      <c r="A13" s="77"/>
      <c r="B13" s="102" t="s">
        <v>417</v>
      </c>
      <c r="C13" s="126">
        <f>D13</f>
        <v>12</v>
      </c>
      <c r="D13" s="147">
        <f>Sheet2!AY27</f>
        <v>12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1990</v>
      </c>
      <c r="D14" s="17">
        <f>Sheet2!EA27</f>
        <v>1990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2">SUM(D15:D15)</f>
        <v>0</v>
      </c>
      <c r="D15" s="17"/>
      <c r="E15" s="80"/>
    </row>
    <row r="16" spans="1:5" s="14" customFormat="1" ht="30">
      <c r="A16" s="13"/>
      <c r="B16" s="101" t="s">
        <v>208</v>
      </c>
      <c r="C16" s="145">
        <f t="shared" si="0"/>
        <v>47</v>
      </c>
      <c r="D16" s="149">
        <f>Sheet2!BH27</f>
        <v>47</v>
      </c>
      <c r="E16" s="81"/>
    </row>
    <row r="17" spans="1:5" s="14" customFormat="1" ht="30">
      <c r="A17" s="13"/>
      <c r="B17" s="101" t="s">
        <v>207</v>
      </c>
      <c r="C17" s="145">
        <f t="shared" si="0"/>
        <v>77</v>
      </c>
      <c r="D17" s="149">
        <f>Sheet2!BI27</f>
        <v>77</v>
      </c>
      <c r="E17" s="81"/>
    </row>
    <row r="18" spans="1:5" s="14" customFormat="1" ht="30">
      <c r="A18" s="13"/>
      <c r="B18" s="101" t="s">
        <v>209</v>
      </c>
      <c r="C18" s="145">
        <f t="shared" si="0"/>
        <v>1843</v>
      </c>
      <c r="D18" s="149">
        <f>Sheet2!BJ27</f>
        <v>1843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25">
        <f>Sheet2!BK27</f>
        <v>0</v>
      </c>
      <c r="E19" s="81"/>
    </row>
    <row r="20" spans="1:5" s="14" customFormat="1" ht="30">
      <c r="A20" s="13"/>
      <c r="B20" s="101" t="s">
        <v>211</v>
      </c>
      <c r="C20" s="145">
        <f t="shared" si="0"/>
        <v>23</v>
      </c>
      <c r="D20" s="125">
        <f>Sheet2!BL27</f>
        <v>23</v>
      </c>
      <c r="E20" s="81"/>
    </row>
    <row r="21" spans="1:5" s="14" customFormat="1" ht="16.5">
      <c r="A21" s="13"/>
      <c r="B21" s="101"/>
      <c r="C21" s="17">
        <f t="shared" si="0"/>
        <v>0</v>
      </c>
      <c r="D21" s="81"/>
      <c r="E21" s="81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E7:E8"/>
    <mergeCell ref="A1:E1"/>
    <mergeCell ref="A2:E2"/>
    <mergeCell ref="A5:E5"/>
    <mergeCell ref="A7:A8"/>
    <mergeCell ref="B7:B8"/>
    <mergeCell ref="C7:C8"/>
    <mergeCell ref="A3:B3"/>
    <mergeCell ref="A4:B4"/>
    <mergeCell ref="D7:D8"/>
  </mergeCells>
  <printOptions/>
  <pageMargins left="0.7" right="0.49" top="0.75" bottom="0.75" header="0.3" footer="0.3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zoomScalePageLayoutView="0" workbookViewId="0" topLeftCell="A8">
      <selection activeCell="A21" sqref="A21:IV21"/>
    </sheetView>
  </sheetViews>
  <sheetFormatPr defaultColWidth="9.00390625" defaultRowHeight="15.75"/>
  <cols>
    <col min="1" max="1" width="5.125" style="15" customWidth="1"/>
    <col min="2" max="2" width="36.25390625" style="15" customWidth="1"/>
    <col min="3" max="3" width="10.625" style="15" customWidth="1"/>
    <col min="4" max="4" width="11.75390625" style="15" customWidth="1"/>
    <col min="5" max="5" width="24.87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60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bổ'!T42</f>
        <v>1031213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bổ'!T43</f>
        <v>2768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15592</v>
      </c>
      <c r="D10" s="12">
        <f>D11+D14</f>
        <v>15592</v>
      </c>
      <c r="E10" s="13"/>
    </row>
    <row r="11" spans="1:5" s="3" customFormat="1" ht="19.5" customHeight="1">
      <c r="A11" s="16">
        <v>1</v>
      </c>
      <c r="B11" s="13" t="s">
        <v>27</v>
      </c>
      <c r="C11" s="17">
        <f>D11</f>
        <v>9899</v>
      </c>
      <c r="D11" s="17">
        <f>Sheet2!DZ28</f>
        <v>9899</v>
      </c>
      <c r="E11" s="18"/>
    </row>
    <row r="12" spans="1:5" s="3" customFormat="1" ht="33.75" customHeight="1">
      <c r="A12" s="77"/>
      <c r="B12" s="102" t="s">
        <v>248</v>
      </c>
      <c r="C12" s="147">
        <f>D12</f>
        <v>143</v>
      </c>
      <c r="D12" s="147">
        <f>Sheet2!AX28</f>
        <v>143</v>
      </c>
      <c r="E12" s="79"/>
    </row>
    <row r="13" spans="1:5" s="3" customFormat="1" ht="33.75" customHeight="1">
      <c r="A13" s="77"/>
      <c r="B13" s="102" t="s">
        <v>417</v>
      </c>
      <c r="C13" s="126">
        <f>D13</f>
        <v>17</v>
      </c>
      <c r="D13" s="147">
        <f>Sheet2!AY28</f>
        <v>17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5693</v>
      </c>
      <c r="D14" s="17">
        <f>Sheet2!EA28</f>
        <v>5693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1">SUM(D15:D15)</f>
        <v>0</v>
      </c>
      <c r="D15" s="17"/>
      <c r="E15" s="80"/>
    </row>
    <row r="16" spans="1:5" s="14" customFormat="1" ht="30">
      <c r="A16" s="13"/>
      <c r="B16" s="101" t="s">
        <v>208</v>
      </c>
      <c r="C16" s="145">
        <f t="shared" si="0"/>
        <v>120</v>
      </c>
      <c r="D16" s="146">
        <f>Sheet2!BH28</f>
        <v>120</v>
      </c>
      <c r="E16" s="81"/>
    </row>
    <row r="17" spans="1:5" s="14" customFormat="1" ht="30">
      <c r="A17" s="13"/>
      <c r="B17" s="101" t="s">
        <v>207</v>
      </c>
      <c r="C17" s="145">
        <f t="shared" si="0"/>
        <v>555</v>
      </c>
      <c r="D17" s="146">
        <f>Sheet2!BI28</f>
        <v>555</v>
      </c>
      <c r="E17" s="81"/>
    </row>
    <row r="18" spans="1:5" s="14" customFormat="1" ht="30">
      <c r="A18" s="13"/>
      <c r="B18" s="101" t="s">
        <v>209</v>
      </c>
      <c r="C18" s="145">
        <f t="shared" si="0"/>
        <v>4928</v>
      </c>
      <c r="D18" s="146">
        <f>Sheet2!BJ28</f>
        <v>4928</v>
      </c>
      <c r="E18" s="81"/>
    </row>
    <row r="19" spans="1:5" s="14" customFormat="1" ht="30">
      <c r="A19" s="13"/>
      <c r="B19" s="101" t="s">
        <v>210</v>
      </c>
      <c r="C19" s="145">
        <f t="shared" si="0"/>
        <v>8</v>
      </c>
      <c r="D19" s="146">
        <f>Sheet2!BK28</f>
        <v>8</v>
      </c>
      <c r="E19" s="81"/>
    </row>
    <row r="20" spans="1:5" s="14" customFormat="1" ht="30">
      <c r="A20" s="13"/>
      <c r="B20" s="101" t="s">
        <v>211</v>
      </c>
      <c r="C20" s="145">
        <f t="shared" si="0"/>
        <v>82</v>
      </c>
      <c r="D20" s="146">
        <f>Sheet2!BL28</f>
        <v>82</v>
      </c>
      <c r="E20" s="81"/>
    </row>
    <row r="21" spans="1:5" s="14" customFormat="1" ht="16.5">
      <c r="A21" s="113"/>
      <c r="B21" s="109"/>
      <c r="C21" s="19">
        <f t="shared" si="0"/>
        <v>0</v>
      </c>
      <c r="D21" s="83"/>
      <c r="E21" s="83"/>
    </row>
    <row r="22" s="14" customFormat="1" ht="12.75"/>
  </sheetData>
  <sheetProtection/>
  <mergeCells count="10">
    <mergeCell ref="E7:E8"/>
    <mergeCell ref="A1:E1"/>
    <mergeCell ref="A2:E2"/>
    <mergeCell ref="A5:E5"/>
    <mergeCell ref="A7:A8"/>
    <mergeCell ref="B7:B8"/>
    <mergeCell ref="C7:C8"/>
    <mergeCell ref="A3:B3"/>
    <mergeCell ref="A4:B4"/>
    <mergeCell ref="D7:D8"/>
  </mergeCells>
  <printOptions/>
  <pageMargins left="0.7" right="0.47" top="0.75" bottom="0.75" header="0.3" footer="0.3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8">
      <selection activeCell="D21" sqref="D21"/>
    </sheetView>
  </sheetViews>
  <sheetFormatPr defaultColWidth="9.00390625" defaultRowHeight="15.75"/>
  <cols>
    <col min="1" max="1" width="5.125" style="15" customWidth="1"/>
    <col min="2" max="2" width="36.875" style="15" customWidth="1"/>
    <col min="3" max="3" width="10.625" style="15" customWidth="1"/>
    <col min="4" max="4" width="11.75390625" style="15" customWidth="1"/>
    <col min="5" max="5" width="24.87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45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bổ'!S42</f>
        <v>1031216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bổ'!S43</f>
        <v>2764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6375</v>
      </c>
      <c r="D10" s="12">
        <f>D11+D14</f>
        <v>6375</v>
      </c>
      <c r="E10" s="13"/>
    </row>
    <row r="11" spans="1:5" s="3" customFormat="1" ht="24.75" customHeight="1">
      <c r="A11" s="16">
        <v>1</v>
      </c>
      <c r="B11" s="13" t="s">
        <v>27</v>
      </c>
      <c r="C11" s="17">
        <f>D11</f>
        <v>4446</v>
      </c>
      <c r="D11" s="17">
        <f>Sheet2!DZ29</f>
        <v>4446</v>
      </c>
      <c r="E11" s="18"/>
    </row>
    <row r="12" spans="1:5" s="3" customFormat="1" ht="34.5" customHeight="1">
      <c r="A12" s="77"/>
      <c r="B12" s="102" t="s">
        <v>248</v>
      </c>
      <c r="C12" s="147">
        <f>D12</f>
        <v>95</v>
      </c>
      <c r="D12" s="147">
        <f>Sheet2!AX29</f>
        <v>95</v>
      </c>
      <c r="E12" s="79"/>
    </row>
    <row r="13" spans="1:5" s="3" customFormat="1" ht="34.5" customHeight="1">
      <c r="A13" s="77"/>
      <c r="B13" s="102" t="s">
        <v>417</v>
      </c>
      <c r="C13" s="126">
        <f>D13</f>
        <v>11</v>
      </c>
      <c r="D13" s="147">
        <f>Sheet2!AY29</f>
        <v>11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1929</v>
      </c>
      <c r="D14" s="17">
        <f>Sheet2!EA29</f>
        <v>1929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2">SUM(D15:D15)</f>
        <v>0</v>
      </c>
      <c r="D15" s="111"/>
      <c r="E15" s="80"/>
    </row>
    <row r="16" spans="1:5" s="14" customFormat="1" ht="30">
      <c r="A16" s="13"/>
      <c r="B16" s="101" t="s">
        <v>208</v>
      </c>
      <c r="C16" s="145">
        <f t="shared" si="0"/>
        <v>43</v>
      </c>
      <c r="D16" s="146">
        <f>Sheet2!BH29</f>
        <v>43</v>
      </c>
      <c r="E16" s="81"/>
    </row>
    <row r="17" spans="1:5" s="14" customFormat="1" ht="30">
      <c r="A17" s="13"/>
      <c r="B17" s="101" t="s">
        <v>207</v>
      </c>
      <c r="C17" s="145">
        <f t="shared" si="0"/>
        <v>159</v>
      </c>
      <c r="D17" s="146">
        <f>Sheet2!BI29</f>
        <v>159</v>
      </c>
      <c r="E17" s="81"/>
    </row>
    <row r="18" spans="1:5" s="14" customFormat="1" ht="30">
      <c r="A18" s="13"/>
      <c r="B18" s="101" t="s">
        <v>209</v>
      </c>
      <c r="C18" s="145">
        <f t="shared" si="0"/>
        <v>1668</v>
      </c>
      <c r="D18" s="146">
        <f>Sheet2!BJ29</f>
        <v>1668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46">
        <f>Sheet2!BK29</f>
        <v>0</v>
      </c>
      <c r="E19" s="81"/>
    </row>
    <row r="20" spans="1:5" s="14" customFormat="1" ht="30">
      <c r="A20" s="13"/>
      <c r="B20" s="101" t="s">
        <v>211</v>
      </c>
      <c r="C20" s="145">
        <f t="shared" si="0"/>
        <v>59</v>
      </c>
      <c r="D20" s="146">
        <f>Sheet2!BL29</f>
        <v>59</v>
      </c>
      <c r="E20" s="81"/>
    </row>
    <row r="21" spans="1:5" s="14" customFormat="1" ht="16.5">
      <c r="A21" s="13"/>
      <c r="B21" s="101"/>
      <c r="C21" s="145">
        <f t="shared" si="0"/>
        <v>0</v>
      </c>
      <c r="D21" s="125"/>
      <c r="E21" s="81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E7:E8"/>
    <mergeCell ref="A1:E1"/>
    <mergeCell ref="A2:E2"/>
    <mergeCell ref="A5:E5"/>
    <mergeCell ref="A7:A8"/>
    <mergeCell ref="B7:B8"/>
    <mergeCell ref="C7:C8"/>
    <mergeCell ref="A3:B3"/>
    <mergeCell ref="A4:B4"/>
    <mergeCell ref="D7:D8"/>
  </mergeCells>
  <printOptions/>
  <pageMargins left="0.7" right="0.41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2"/>
  <sheetViews>
    <sheetView tabSelected="1" zoomScalePageLayoutView="0" workbookViewId="0" topLeftCell="A1">
      <pane xSplit="2" ySplit="6" topLeftCell="R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E11" sqref="BE11"/>
    </sheetView>
  </sheetViews>
  <sheetFormatPr defaultColWidth="9.00390625" defaultRowHeight="15.75"/>
  <cols>
    <col min="1" max="1" width="39.50390625" style="24" customWidth="1"/>
    <col min="2" max="2" width="11.75390625" style="24" customWidth="1"/>
    <col min="3" max="3" width="11.25390625" style="24" customWidth="1"/>
    <col min="4" max="4" width="10.125" style="24" customWidth="1"/>
    <col min="5" max="5" width="9.625" style="24" customWidth="1"/>
    <col min="6" max="6" width="9.50390625" style="24" customWidth="1"/>
    <col min="7" max="7" width="9.375" style="24" customWidth="1"/>
    <col min="8" max="8" width="10.125" style="24" customWidth="1"/>
    <col min="9" max="9" width="9.125" style="24" customWidth="1"/>
    <col min="10" max="10" width="10.125" style="24" customWidth="1"/>
    <col min="11" max="11" width="9.50390625" style="24" customWidth="1"/>
    <col min="12" max="12" width="10.50390625" style="24" customWidth="1"/>
    <col min="13" max="13" width="9.625" style="24" customWidth="1"/>
    <col min="14" max="14" width="9.875" style="24" customWidth="1"/>
    <col min="15" max="15" width="10.00390625" style="24" customWidth="1"/>
    <col min="16" max="16" width="9.375" style="24" customWidth="1"/>
    <col min="17" max="17" width="10.00390625" style="24" customWidth="1"/>
    <col min="18" max="18" width="9.375" style="24" customWidth="1"/>
    <col min="19" max="19" width="9.625" style="24" customWidth="1"/>
    <col min="20" max="20" width="9.875" style="24" customWidth="1"/>
    <col min="21" max="21" width="9.25390625" style="24" customWidth="1"/>
    <col min="22" max="22" width="9.125" style="24" customWidth="1"/>
    <col min="23" max="23" width="9.75390625" style="24" customWidth="1"/>
    <col min="24" max="24" width="9.875" style="24" hidden="1" customWidth="1"/>
    <col min="25" max="27" width="10.00390625" style="24" customWidth="1"/>
    <col min="28" max="28" width="9.375" style="24" customWidth="1"/>
    <col min="29" max="29" width="10.625" style="24" customWidth="1"/>
    <col min="30" max="30" width="10.375" style="24" customWidth="1"/>
    <col min="31" max="31" width="9.50390625" style="24" customWidth="1"/>
    <col min="32" max="32" width="9.25390625" style="24" customWidth="1"/>
    <col min="33" max="33" width="9.75390625" style="24" customWidth="1"/>
    <col min="34" max="35" width="9.50390625" style="24" customWidth="1"/>
    <col min="36" max="36" width="9.75390625" style="24" customWidth="1"/>
    <col min="37" max="38" width="9.125" style="24" customWidth="1"/>
    <col min="39" max="41" width="9.25390625" style="24" customWidth="1"/>
    <col min="42" max="42" width="9.50390625" style="24" customWidth="1"/>
    <col min="43" max="43" width="10.125" style="24" hidden="1" customWidth="1"/>
    <col min="44" max="44" width="8.875" style="24" customWidth="1"/>
    <col min="45" max="45" width="9.625" style="24" customWidth="1"/>
    <col min="46" max="46" width="10.50390625" style="24" customWidth="1"/>
    <col min="47" max="48" width="10.50390625" style="24" hidden="1" customWidth="1"/>
    <col min="49" max="49" width="9.00390625" style="24" customWidth="1"/>
    <col min="50" max="51" width="10.50390625" style="24" hidden="1" customWidth="1"/>
    <col min="52" max="52" width="10.50390625" style="24" customWidth="1"/>
    <col min="53" max="53" width="10.50390625" style="24" hidden="1" customWidth="1"/>
    <col min="54" max="54" width="9.375" style="24" customWidth="1"/>
    <col min="55" max="55" width="8.625" style="24" customWidth="1"/>
    <col min="56" max="56" width="10.50390625" style="24" hidden="1" customWidth="1"/>
    <col min="57" max="57" width="55.00390625" style="24" customWidth="1"/>
    <col min="58" max="16384" width="9.00390625" style="24" customWidth="1"/>
  </cols>
  <sheetData>
    <row r="1" spans="1:57" ht="21.75" customHeight="1">
      <c r="A1" s="20"/>
      <c r="B1" s="21"/>
      <c r="C1" s="22"/>
      <c r="D1" s="23"/>
      <c r="K1" s="25"/>
      <c r="M1" s="60" t="s">
        <v>62</v>
      </c>
      <c r="Z1" s="60" t="s">
        <v>62</v>
      </c>
      <c r="AA1" s="60"/>
      <c r="AB1" s="60"/>
      <c r="AF1" s="60"/>
      <c r="AL1" s="60" t="s">
        <v>62</v>
      </c>
      <c r="AS1" s="26"/>
      <c r="AT1" s="26"/>
      <c r="AU1" s="26"/>
      <c r="AV1" s="26"/>
      <c r="AW1" s="26"/>
      <c r="AX1" s="26"/>
      <c r="AY1" s="199" t="s">
        <v>62</v>
      </c>
      <c r="AZ1" s="26"/>
      <c r="BA1" s="26"/>
      <c r="BB1" s="26"/>
      <c r="BC1" s="26"/>
      <c r="BD1" s="26"/>
      <c r="BE1" s="60" t="s">
        <v>62</v>
      </c>
    </row>
    <row r="2" spans="1:57" s="28" customFormat="1" ht="18.75" customHeight="1">
      <c r="A2" s="385" t="s">
        <v>22</v>
      </c>
      <c r="B2" s="387" t="s">
        <v>63</v>
      </c>
      <c r="C2" s="389" t="s">
        <v>64</v>
      </c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1"/>
      <c r="O2" s="389" t="s">
        <v>64</v>
      </c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1"/>
      <c r="AC2" s="399" t="s">
        <v>64</v>
      </c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 t="s">
        <v>64</v>
      </c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3"/>
      <c r="BE2" s="387" t="s">
        <v>24</v>
      </c>
    </row>
    <row r="3" spans="1:57" s="28" customFormat="1" ht="78.75" customHeight="1">
      <c r="A3" s="386"/>
      <c r="B3" s="388"/>
      <c r="C3" s="27" t="s">
        <v>65</v>
      </c>
      <c r="D3" s="27" t="s">
        <v>66</v>
      </c>
      <c r="E3" s="27" t="s">
        <v>67</v>
      </c>
      <c r="F3" s="27" t="s">
        <v>68</v>
      </c>
      <c r="G3" s="27" t="s">
        <v>69</v>
      </c>
      <c r="H3" s="27" t="s">
        <v>70</v>
      </c>
      <c r="I3" s="27" t="s">
        <v>71</v>
      </c>
      <c r="J3" s="27" t="s">
        <v>72</v>
      </c>
      <c r="K3" s="27" t="s">
        <v>73</v>
      </c>
      <c r="L3" s="27" t="s">
        <v>74</v>
      </c>
      <c r="M3" s="27" t="s">
        <v>75</v>
      </c>
      <c r="N3" s="27" t="s">
        <v>76</v>
      </c>
      <c r="O3" s="27" t="s">
        <v>77</v>
      </c>
      <c r="P3" s="27" t="s">
        <v>78</v>
      </c>
      <c r="Q3" s="27" t="s">
        <v>79</v>
      </c>
      <c r="R3" s="27" t="s">
        <v>80</v>
      </c>
      <c r="S3" s="27" t="s">
        <v>81</v>
      </c>
      <c r="T3" s="27" t="s">
        <v>82</v>
      </c>
      <c r="U3" s="27" t="s">
        <v>83</v>
      </c>
      <c r="V3" s="27" t="s">
        <v>84</v>
      </c>
      <c r="W3" s="27" t="s">
        <v>85</v>
      </c>
      <c r="X3" s="27" t="s">
        <v>86</v>
      </c>
      <c r="Y3" s="27" t="s">
        <v>87</v>
      </c>
      <c r="Z3" s="27" t="s">
        <v>86</v>
      </c>
      <c r="AA3" s="27" t="s">
        <v>186</v>
      </c>
      <c r="AB3" s="27" t="s">
        <v>273</v>
      </c>
      <c r="AC3" s="27" t="s">
        <v>88</v>
      </c>
      <c r="AD3" s="27" t="s">
        <v>89</v>
      </c>
      <c r="AE3" s="27" t="s">
        <v>90</v>
      </c>
      <c r="AF3" s="27" t="s">
        <v>91</v>
      </c>
      <c r="AG3" s="27" t="s">
        <v>92</v>
      </c>
      <c r="AH3" s="27" t="s">
        <v>93</v>
      </c>
      <c r="AI3" s="27" t="s">
        <v>94</v>
      </c>
      <c r="AJ3" s="27" t="s">
        <v>95</v>
      </c>
      <c r="AK3" s="27" t="s">
        <v>96</v>
      </c>
      <c r="AL3" s="27" t="s">
        <v>272</v>
      </c>
      <c r="AM3" s="399" t="s">
        <v>97</v>
      </c>
      <c r="AN3" s="400"/>
      <c r="AO3" s="401"/>
      <c r="AP3" s="27" t="s">
        <v>240</v>
      </c>
      <c r="AQ3" s="27" t="s">
        <v>190</v>
      </c>
      <c r="AR3" s="184" t="s">
        <v>423</v>
      </c>
      <c r="AS3" s="184" t="s">
        <v>98</v>
      </c>
      <c r="AT3" s="399" t="s">
        <v>191</v>
      </c>
      <c r="AU3" s="402"/>
      <c r="AV3" s="402"/>
      <c r="AW3" s="402"/>
      <c r="AX3" s="402"/>
      <c r="AY3" s="402"/>
      <c r="AZ3" s="402"/>
      <c r="BA3" s="402"/>
      <c r="BB3" s="402"/>
      <c r="BC3" s="402"/>
      <c r="BD3" s="403"/>
      <c r="BE3" s="392"/>
    </row>
    <row r="4" spans="1:57" s="28" customFormat="1" ht="28.5" customHeight="1">
      <c r="A4" s="386"/>
      <c r="B4" s="388"/>
      <c r="C4" s="27" t="s">
        <v>187</v>
      </c>
      <c r="D4" s="27" t="s">
        <v>187</v>
      </c>
      <c r="E4" s="27" t="s">
        <v>187</v>
      </c>
      <c r="F4" s="27" t="s">
        <v>187</v>
      </c>
      <c r="G4" s="27" t="s">
        <v>187</v>
      </c>
      <c r="H4" s="27" t="s">
        <v>187</v>
      </c>
      <c r="I4" s="27" t="s">
        <v>187</v>
      </c>
      <c r="J4" s="27" t="s">
        <v>187</v>
      </c>
      <c r="K4" s="27" t="s">
        <v>187</v>
      </c>
      <c r="L4" s="27" t="s">
        <v>187</v>
      </c>
      <c r="M4" s="27" t="s">
        <v>187</v>
      </c>
      <c r="N4" s="27" t="s">
        <v>187</v>
      </c>
      <c r="O4" s="27" t="s">
        <v>187</v>
      </c>
      <c r="P4" s="27" t="s">
        <v>187</v>
      </c>
      <c r="Q4" s="27" t="s">
        <v>187</v>
      </c>
      <c r="R4" s="27" t="s">
        <v>187</v>
      </c>
      <c r="S4" s="27" t="s">
        <v>187</v>
      </c>
      <c r="T4" s="27" t="s">
        <v>187</v>
      </c>
      <c r="U4" s="27" t="s">
        <v>187</v>
      </c>
      <c r="V4" s="27" t="s">
        <v>187</v>
      </c>
      <c r="W4" s="27" t="s">
        <v>187</v>
      </c>
      <c r="X4" s="27" t="s">
        <v>99</v>
      </c>
      <c r="Y4" s="27" t="s">
        <v>187</v>
      </c>
      <c r="Z4" s="27" t="s">
        <v>187</v>
      </c>
      <c r="AA4" s="27" t="s">
        <v>187</v>
      </c>
      <c r="AB4" s="27" t="s">
        <v>187</v>
      </c>
      <c r="AC4" s="27" t="s">
        <v>187</v>
      </c>
      <c r="AD4" s="27" t="s">
        <v>187</v>
      </c>
      <c r="AE4" s="27" t="s">
        <v>187</v>
      </c>
      <c r="AF4" s="27" t="s">
        <v>187</v>
      </c>
      <c r="AG4" s="27" t="s">
        <v>187</v>
      </c>
      <c r="AH4" s="27" t="s">
        <v>187</v>
      </c>
      <c r="AI4" s="27" t="s">
        <v>187</v>
      </c>
      <c r="AJ4" s="27" t="s">
        <v>187</v>
      </c>
      <c r="AK4" s="27" t="s">
        <v>187</v>
      </c>
      <c r="AL4" s="27" t="s">
        <v>187</v>
      </c>
      <c r="AM4" s="27" t="s">
        <v>479</v>
      </c>
      <c r="AN4" s="27" t="s">
        <v>188</v>
      </c>
      <c r="AO4" s="27" t="s">
        <v>474</v>
      </c>
      <c r="AP4" s="27" t="s">
        <v>188</v>
      </c>
      <c r="AQ4" s="27" t="s">
        <v>188</v>
      </c>
      <c r="AR4" s="27" t="s">
        <v>188</v>
      </c>
      <c r="AS4" s="27" t="s">
        <v>189</v>
      </c>
      <c r="AT4" s="27" t="s">
        <v>23</v>
      </c>
      <c r="AU4" s="27" t="s">
        <v>408</v>
      </c>
      <c r="AV4" s="27" t="s">
        <v>406</v>
      </c>
      <c r="AW4" s="27" t="s">
        <v>192</v>
      </c>
      <c r="AX4" s="27" t="s">
        <v>196</v>
      </c>
      <c r="AY4" s="27" t="s">
        <v>231</v>
      </c>
      <c r="AZ4" s="27" t="s">
        <v>193</v>
      </c>
      <c r="BA4" s="27" t="s">
        <v>242</v>
      </c>
      <c r="BB4" s="27" t="s">
        <v>194</v>
      </c>
      <c r="BC4" s="27" t="s">
        <v>195</v>
      </c>
      <c r="BD4" s="27" t="s">
        <v>221</v>
      </c>
      <c r="BE4" s="392"/>
    </row>
    <row r="5" spans="1:57" s="35" customFormat="1" ht="15.75" customHeight="1" hidden="1">
      <c r="A5" s="29" t="s">
        <v>100</v>
      </c>
      <c r="B5" s="31" t="e">
        <f>C5+AC5+AD5+AM5+#REF!+#REF!+#REF!+#REF!+#REF!</f>
        <v>#REF!</v>
      </c>
      <c r="C5" s="32">
        <f>SUM(D5:W5)</f>
        <v>1163</v>
      </c>
      <c r="D5" s="33">
        <f>'[1]Bảng lương'!D12</f>
        <v>62</v>
      </c>
      <c r="E5" s="33">
        <f>'[1]Bảng lương'!D13</f>
        <v>52</v>
      </c>
      <c r="F5" s="33">
        <f>'[1]Bảng lương'!D14</f>
        <v>90</v>
      </c>
      <c r="G5" s="33">
        <f>'[1]Bảng lương'!D15</f>
        <v>47</v>
      </c>
      <c r="H5" s="33">
        <f>'[1]Bảng lương'!D16</f>
        <v>98</v>
      </c>
      <c r="I5" s="33">
        <f>'[1]Bảng lương'!D17</f>
        <v>84</v>
      </c>
      <c r="J5" s="33">
        <f>'[1]Bảng lương'!D18</f>
        <v>80</v>
      </c>
      <c r="K5" s="33">
        <f>'[1]Bảng lương'!D19</f>
        <v>59</v>
      </c>
      <c r="L5" s="33">
        <f>'[1]Bảng lương'!D20</f>
        <v>76</v>
      </c>
      <c r="M5" s="33">
        <f>'[1]Bảng lương'!D21</f>
        <v>56</v>
      </c>
      <c r="N5" s="33">
        <f>'[1]Bảng lương'!D22</f>
        <v>76</v>
      </c>
      <c r="O5" s="33">
        <f>'[1]Bảng lương'!D24</f>
        <v>52</v>
      </c>
      <c r="P5" s="33">
        <f>'[1]Bảng lương'!D25</f>
        <v>40</v>
      </c>
      <c r="Q5" s="33">
        <f>'[1]Bảng lương'!D23</f>
        <v>63</v>
      </c>
      <c r="R5" s="33">
        <f>'[1]Bảng lương'!D26</f>
        <v>40</v>
      </c>
      <c r="S5" s="33">
        <f>'[1]Bảng lương'!D28</f>
        <v>44</v>
      </c>
      <c r="T5" s="33">
        <f>'[1]Bảng lương'!D27</f>
        <v>41</v>
      </c>
      <c r="U5" s="33">
        <f>'[1]Bảng lương'!D29</f>
        <v>40</v>
      </c>
      <c r="V5" s="33">
        <f>'[1]Bảng lương'!D30</f>
        <v>25</v>
      </c>
      <c r="W5" s="33">
        <f>'[1]Bảng lương'!D31</f>
        <v>38</v>
      </c>
      <c r="X5" s="33"/>
      <c r="Y5" s="33"/>
      <c r="Z5" s="33"/>
      <c r="AA5" s="33"/>
      <c r="AB5" s="33"/>
      <c r="AC5" s="33">
        <f>'[1]Bảng lương'!D49</f>
        <v>75</v>
      </c>
      <c r="AD5" s="32">
        <f>SUM(AE5:AK5)</f>
        <v>294</v>
      </c>
      <c r="AE5" s="33">
        <f>'[1]Bảng lương'!D34</f>
        <v>49</v>
      </c>
      <c r="AF5" s="33">
        <f>'[1]Bảng lương'!D37</f>
        <v>44</v>
      </c>
      <c r="AG5" s="33">
        <f>'[1]Bảng lương'!D35</f>
        <v>39</v>
      </c>
      <c r="AH5" s="33">
        <f>'[1]Bảng lương'!D36</f>
        <v>40</v>
      </c>
      <c r="AI5" s="33">
        <f>'[1]Bảng lương'!D39</f>
        <v>39</v>
      </c>
      <c r="AJ5" s="33">
        <f>'[1]Bảng lương'!D40</f>
        <v>45</v>
      </c>
      <c r="AK5" s="33">
        <f>'[1]Bảng lương'!D38</f>
        <v>38</v>
      </c>
      <c r="AL5" s="33"/>
      <c r="AM5" s="33">
        <f>'[1]Bảng lương'!D50</f>
        <v>39</v>
      </c>
      <c r="AN5" s="33"/>
      <c r="AO5" s="33"/>
      <c r="AP5" s="33"/>
      <c r="AQ5" s="33"/>
      <c r="AR5" s="189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</row>
    <row r="6" spans="1:57" s="35" customFormat="1" ht="13.5" customHeight="1" hidden="1">
      <c r="A6" s="30" t="s">
        <v>101</v>
      </c>
      <c r="B6" s="31" t="e">
        <f>C6+AC6+AD6+AM6+#REF!+#REF!+#REF!+#REF!+#REF!</f>
        <v>#REF!</v>
      </c>
      <c r="C6" s="36">
        <f>SUM(D6:W6)</f>
        <v>410</v>
      </c>
      <c r="D6" s="37">
        <v>22</v>
      </c>
      <c r="E6" s="37">
        <v>20</v>
      </c>
      <c r="F6" s="37">
        <v>36</v>
      </c>
      <c r="G6" s="37">
        <v>13</v>
      </c>
      <c r="H6" s="37">
        <v>37</v>
      </c>
      <c r="I6" s="37">
        <v>32</v>
      </c>
      <c r="J6" s="37">
        <v>22</v>
      </c>
      <c r="K6" s="37">
        <v>23</v>
      </c>
      <c r="L6" s="37">
        <v>27</v>
      </c>
      <c r="M6" s="37">
        <v>24</v>
      </c>
      <c r="N6" s="37">
        <v>27</v>
      </c>
      <c r="O6" s="37">
        <v>19</v>
      </c>
      <c r="P6" s="37">
        <v>14</v>
      </c>
      <c r="Q6" s="37">
        <v>22</v>
      </c>
      <c r="R6" s="37">
        <v>13</v>
      </c>
      <c r="S6" s="37">
        <v>14</v>
      </c>
      <c r="T6" s="37">
        <v>13</v>
      </c>
      <c r="U6" s="37">
        <v>13</v>
      </c>
      <c r="V6" s="37">
        <v>6</v>
      </c>
      <c r="W6" s="37">
        <v>13</v>
      </c>
      <c r="X6" s="37"/>
      <c r="Y6" s="37"/>
      <c r="Z6" s="37"/>
      <c r="AA6" s="37"/>
      <c r="AB6" s="37"/>
      <c r="AC6" s="37"/>
      <c r="AD6" s="36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8"/>
    </row>
    <row r="7" spans="1:57" s="42" customFormat="1" ht="15.75">
      <c r="A7" s="39" t="s">
        <v>102</v>
      </c>
      <c r="B7" s="47">
        <f>C7+AC7+AD7+AM7+AP7+AQ7+AR7+AS7+AT7</f>
        <v>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>
        <f>SUM(AE7:AL7)</f>
        <v>0</v>
      </c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1"/>
    </row>
    <row r="8" spans="1:57" s="42" customFormat="1" ht="15.75">
      <c r="A8" s="45" t="s">
        <v>103</v>
      </c>
      <c r="B8" s="47">
        <f>C8+AC8+AD8+AM8+AP8+AQ8+AR8+AS8+AT8</f>
        <v>0</v>
      </c>
      <c r="C8" s="40">
        <f aca="true" t="shared" si="0" ref="C8:C17">SUM(D8:AB8)</f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>
        <f aca="true" t="shared" si="1" ref="AD8:AD41">SUM(AE8:AL8)</f>
        <v>0</v>
      </c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1"/>
    </row>
    <row r="9" spans="1:57" s="42" customFormat="1" ht="15.75">
      <c r="A9" s="45" t="s">
        <v>104</v>
      </c>
      <c r="B9" s="47">
        <f aca="true" t="shared" si="2" ref="B9:B41">C9+AC9+AD9+AM9+AP9+AQ9+AR9+AS9+AT9</f>
        <v>0</v>
      </c>
      <c r="C9" s="40">
        <f t="shared" si="0"/>
        <v>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>
        <f t="shared" si="1"/>
        <v>0</v>
      </c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1"/>
    </row>
    <row r="10" spans="1:57" s="42" customFormat="1" ht="15.75">
      <c r="A10" s="45" t="s">
        <v>105</v>
      </c>
      <c r="B10" s="47">
        <f t="shared" si="2"/>
        <v>0</v>
      </c>
      <c r="C10" s="40">
        <f t="shared" si="0"/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>
        <f t="shared" si="1"/>
        <v>0</v>
      </c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1"/>
    </row>
    <row r="11" spans="1:57" s="35" customFormat="1" ht="18" customHeight="1">
      <c r="A11" s="46" t="s">
        <v>106</v>
      </c>
      <c r="B11" s="47">
        <f t="shared" si="2"/>
        <v>0</v>
      </c>
      <c r="C11" s="40">
        <f t="shared" si="0"/>
        <v>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0">
        <f t="shared" si="1"/>
        <v>0</v>
      </c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39"/>
    </row>
    <row r="12" spans="1:57" s="35" customFormat="1" ht="16.5" customHeight="1">
      <c r="A12" s="46" t="s">
        <v>107</v>
      </c>
      <c r="B12" s="47">
        <f t="shared" si="2"/>
        <v>429481</v>
      </c>
      <c r="C12" s="47">
        <f aca="true" t="shared" si="3" ref="C12:AC12">C13+C18+C22+C26+C30+C34+C38</f>
        <v>225184</v>
      </c>
      <c r="D12" s="47">
        <f t="shared" si="3"/>
        <v>7666</v>
      </c>
      <c r="E12" s="47">
        <f t="shared" si="3"/>
        <v>10649</v>
      </c>
      <c r="F12" s="47">
        <f t="shared" si="3"/>
        <v>12547</v>
      </c>
      <c r="G12" s="47">
        <f t="shared" si="3"/>
        <v>5883</v>
      </c>
      <c r="H12" s="47">
        <f t="shared" si="3"/>
        <v>11617</v>
      </c>
      <c r="I12" s="47">
        <f t="shared" si="3"/>
        <v>9754</v>
      </c>
      <c r="J12" s="47">
        <f t="shared" si="3"/>
        <v>14120</v>
      </c>
      <c r="K12" s="47">
        <f t="shared" si="3"/>
        <v>8297</v>
      </c>
      <c r="L12" s="47">
        <f t="shared" si="3"/>
        <v>10962</v>
      </c>
      <c r="M12" s="47">
        <f t="shared" si="3"/>
        <v>10652</v>
      </c>
      <c r="N12" s="47">
        <f t="shared" si="3"/>
        <v>10892</v>
      </c>
      <c r="O12" s="47">
        <f t="shared" si="3"/>
        <v>7572</v>
      </c>
      <c r="P12" s="47">
        <f t="shared" si="3"/>
        <v>6538</v>
      </c>
      <c r="Q12" s="47">
        <f t="shared" si="3"/>
        <v>9839</v>
      </c>
      <c r="R12" s="47">
        <f t="shared" si="3"/>
        <v>8048</v>
      </c>
      <c r="S12" s="47">
        <f t="shared" si="3"/>
        <v>6375</v>
      </c>
      <c r="T12" s="47">
        <f t="shared" si="3"/>
        <v>15592</v>
      </c>
      <c r="U12" s="47">
        <f t="shared" si="3"/>
        <v>8815</v>
      </c>
      <c r="V12" s="47">
        <f t="shared" si="3"/>
        <v>6519</v>
      </c>
      <c r="W12" s="47">
        <f t="shared" si="3"/>
        <v>6709</v>
      </c>
      <c r="X12" s="47">
        <f t="shared" si="3"/>
        <v>0</v>
      </c>
      <c r="Y12" s="47">
        <f t="shared" si="3"/>
        <v>8224</v>
      </c>
      <c r="Z12" s="47">
        <f t="shared" si="3"/>
        <v>6227</v>
      </c>
      <c r="AA12" s="47">
        <f t="shared" si="3"/>
        <v>13057</v>
      </c>
      <c r="AB12" s="47">
        <f t="shared" si="3"/>
        <v>8630</v>
      </c>
      <c r="AC12" s="47">
        <f t="shared" si="3"/>
        <v>19701</v>
      </c>
      <c r="AD12" s="47">
        <f t="shared" si="1"/>
        <v>88687</v>
      </c>
      <c r="AE12" s="47">
        <f aca="true" t="shared" si="4" ref="AE12:BD12">AE13+AE18+AE22+AE26+AE30+AE34+AE38</f>
        <v>12156</v>
      </c>
      <c r="AF12" s="47">
        <f t="shared" si="4"/>
        <v>11220</v>
      </c>
      <c r="AG12" s="47">
        <f t="shared" si="4"/>
        <v>10436</v>
      </c>
      <c r="AH12" s="47">
        <f t="shared" si="4"/>
        <v>11150</v>
      </c>
      <c r="AI12" s="47">
        <f t="shared" si="4"/>
        <v>10272</v>
      </c>
      <c r="AJ12" s="47">
        <f t="shared" si="4"/>
        <v>12859</v>
      </c>
      <c r="AK12" s="47">
        <f t="shared" si="4"/>
        <v>11957</v>
      </c>
      <c r="AL12" s="47">
        <f t="shared" si="4"/>
        <v>8637</v>
      </c>
      <c r="AM12" s="47">
        <f>AM13+AM18+AM22+AM26+AM30+AM34+AM38</f>
        <v>4928</v>
      </c>
      <c r="AN12" s="47">
        <f>AN13+AN18+AN22+AN26+AN30+AN34+AN38</f>
        <v>3967</v>
      </c>
      <c r="AO12" s="47">
        <f>AO13+AO18+AO22+AO26+AO30+AO34+AO38</f>
        <v>961</v>
      </c>
      <c r="AP12" s="47">
        <f t="shared" si="4"/>
        <v>1281</v>
      </c>
      <c r="AQ12" s="47">
        <f t="shared" si="4"/>
        <v>0</v>
      </c>
      <c r="AR12" s="47">
        <f>AR13+AR18+AR22+AR26+AR30+AR34+AR38</f>
        <v>2645</v>
      </c>
      <c r="AS12" s="47">
        <f t="shared" si="4"/>
        <v>27152</v>
      </c>
      <c r="AT12" s="47">
        <f>AT13+AT18+AT22+AT26+AT30+AT34+AT38</f>
        <v>59903</v>
      </c>
      <c r="AU12" s="47">
        <f t="shared" si="4"/>
        <v>0</v>
      </c>
      <c r="AV12" s="47">
        <f t="shared" si="4"/>
        <v>0</v>
      </c>
      <c r="AW12" s="47">
        <f t="shared" si="4"/>
        <v>9091</v>
      </c>
      <c r="AX12" s="47">
        <f t="shared" si="4"/>
        <v>0</v>
      </c>
      <c r="AY12" s="47">
        <f t="shared" si="4"/>
        <v>0</v>
      </c>
      <c r="AZ12" s="47">
        <f t="shared" si="4"/>
        <v>47200</v>
      </c>
      <c r="BA12" s="47">
        <f t="shared" si="4"/>
        <v>0</v>
      </c>
      <c r="BB12" s="47">
        <f t="shared" si="4"/>
        <v>2912</v>
      </c>
      <c r="BC12" s="47">
        <f t="shared" si="4"/>
        <v>700</v>
      </c>
      <c r="BD12" s="47">
        <f t="shared" si="4"/>
        <v>0</v>
      </c>
      <c r="BE12" s="39"/>
    </row>
    <row r="13" spans="1:57" s="35" customFormat="1" ht="16.5" customHeight="1">
      <c r="A13" s="46" t="s">
        <v>108</v>
      </c>
      <c r="B13" s="47">
        <f t="shared" si="2"/>
        <v>388665</v>
      </c>
      <c r="C13" s="47">
        <f>SUM(D13:AB13)</f>
        <v>225184</v>
      </c>
      <c r="D13" s="47">
        <f>D14+D17</f>
        <v>7666</v>
      </c>
      <c r="E13" s="47">
        <f aca="true" t="shared" si="5" ref="E13:AM13">E14+E17</f>
        <v>10649</v>
      </c>
      <c r="F13" s="47">
        <f t="shared" si="5"/>
        <v>12547</v>
      </c>
      <c r="G13" s="47">
        <f t="shared" si="5"/>
        <v>5883</v>
      </c>
      <c r="H13" s="47">
        <f t="shared" si="5"/>
        <v>11617</v>
      </c>
      <c r="I13" s="47">
        <f t="shared" si="5"/>
        <v>9754</v>
      </c>
      <c r="J13" s="47">
        <f t="shared" si="5"/>
        <v>14120</v>
      </c>
      <c r="K13" s="47">
        <f t="shared" si="5"/>
        <v>8297</v>
      </c>
      <c r="L13" s="47">
        <f t="shared" si="5"/>
        <v>10962</v>
      </c>
      <c r="M13" s="47">
        <f t="shared" si="5"/>
        <v>10652</v>
      </c>
      <c r="N13" s="47">
        <f t="shared" si="5"/>
        <v>10892</v>
      </c>
      <c r="O13" s="47">
        <f t="shared" si="5"/>
        <v>7572</v>
      </c>
      <c r="P13" s="47">
        <f t="shared" si="5"/>
        <v>6538</v>
      </c>
      <c r="Q13" s="47">
        <f t="shared" si="5"/>
        <v>9839</v>
      </c>
      <c r="R13" s="47">
        <f t="shared" si="5"/>
        <v>8048</v>
      </c>
      <c r="S13" s="47">
        <f t="shared" si="5"/>
        <v>6375</v>
      </c>
      <c r="T13" s="47">
        <f t="shared" si="5"/>
        <v>15592</v>
      </c>
      <c r="U13" s="47">
        <f t="shared" si="5"/>
        <v>8815</v>
      </c>
      <c r="V13" s="47">
        <f t="shared" si="5"/>
        <v>6519</v>
      </c>
      <c r="W13" s="47">
        <f t="shared" si="5"/>
        <v>6709</v>
      </c>
      <c r="X13" s="47">
        <f t="shared" si="5"/>
        <v>0</v>
      </c>
      <c r="Y13" s="47">
        <f t="shared" si="5"/>
        <v>8224</v>
      </c>
      <c r="Z13" s="47">
        <f>Z14+Z17</f>
        <v>6227</v>
      </c>
      <c r="AA13" s="47">
        <f>AA14+AA17</f>
        <v>13057</v>
      </c>
      <c r="AB13" s="47">
        <f t="shared" si="5"/>
        <v>8630</v>
      </c>
      <c r="AC13" s="47">
        <f t="shared" si="5"/>
        <v>19701</v>
      </c>
      <c r="AD13" s="47">
        <f t="shared" si="1"/>
        <v>88687</v>
      </c>
      <c r="AE13" s="47">
        <f t="shared" si="5"/>
        <v>12156</v>
      </c>
      <c r="AF13" s="47">
        <f t="shared" si="5"/>
        <v>11220</v>
      </c>
      <c r="AG13" s="47">
        <f t="shared" si="5"/>
        <v>10436</v>
      </c>
      <c r="AH13" s="47">
        <f t="shared" si="5"/>
        <v>11150</v>
      </c>
      <c r="AI13" s="47">
        <f t="shared" si="5"/>
        <v>10272</v>
      </c>
      <c r="AJ13" s="47">
        <f t="shared" si="5"/>
        <v>12859</v>
      </c>
      <c r="AK13" s="47">
        <f t="shared" si="5"/>
        <v>11957</v>
      </c>
      <c r="AL13" s="47">
        <f t="shared" si="5"/>
        <v>8637</v>
      </c>
      <c r="AM13" s="47">
        <f t="shared" si="5"/>
        <v>3967</v>
      </c>
      <c r="AN13" s="47">
        <f aca="true" t="shared" si="6" ref="AN13:AS13">AN14+AN17</f>
        <v>3967</v>
      </c>
      <c r="AO13" s="47">
        <f t="shared" si="6"/>
        <v>0</v>
      </c>
      <c r="AP13" s="47">
        <f t="shared" si="6"/>
        <v>1281</v>
      </c>
      <c r="AQ13" s="47">
        <f t="shared" si="6"/>
        <v>0</v>
      </c>
      <c r="AR13" s="47">
        <f t="shared" si="6"/>
        <v>2645</v>
      </c>
      <c r="AS13" s="47">
        <f t="shared" si="6"/>
        <v>0</v>
      </c>
      <c r="AT13" s="47">
        <f>SUM(AU13:BD13)</f>
        <v>47200</v>
      </c>
      <c r="AU13" s="47"/>
      <c r="AV13" s="47"/>
      <c r="AW13" s="47">
        <f aca="true" t="shared" si="7" ref="AW13:BD13">AW14+AW17</f>
        <v>0</v>
      </c>
      <c r="AX13" s="47">
        <f t="shared" si="7"/>
        <v>0</v>
      </c>
      <c r="AY13" s="47">
        <f t="shared" si="7"/>
        <v>0</v>
      </c>
      <c r="AZ13" s="47">
        <f t="shared" si="7"/>
        <v>47200</v>
      </c>
      <c r="BA13" s="47">
        <f t="shared" si="7"/>
        <v>0</v>
      </c>
      <c r="BB13" s="47">
        <f t="shared" si="7"/>
        <v>0</v>
      </c>
      <c r="BC13" s="47">
        <f t="shared" si="7"/>
        <v>0</v>
      </c>
      <c r="BD13" s="47">
        <f t="shared" si="7"/>
        <v>0</v>
      </c>
      <c r="BE13" s="176"/>
    </row>
    <row r="14" spans="1:57" s="42" customFormat="1" ht="16.5" customHeight="1">
      <c r="A14" s="45" t="s">
        <v>198</v>
      </c>
      <c r="B14" s="40">
        <f t="shared" si="2"/>
        <v>242933</v>
      </c>
      <c r="C14" s="40">
        <f>SUM(D14:AB14)</f>
        <v>171085</v>
      </c>
      <c r="D14" s="40">
        <f>MA!D11</f>
        <v>5867</v>
      </c>
      <c r="E14" s="40">
        <f>MC!D11</f>
        <v>6366</v>
      </c>
      <c r="F14" s="40">
        <f>TG!D11</f>
        <v>8887</v>
      </c>
      <c r="G14" s="40">
        <f>TX!D11</f>
        <v>4751</v>
      </c>
      <c r="H14" s="40">
        <f>TP!D11</f>
        <v>11466</v>
      </c>
      <c r="I14" s="40">
        <f>ĐB!D11</f>
        <v>8985</v>
      </c>
      <c r="J14" s="40">
        <f>LQĐ!D11</f>
        <v>14092</v>
      </c>
      <c r="K14" s="40">
        <f>TC!D11</f>
        <v>5274</v>
      </c>
      <c r="L14" s="40">
        <f>PĐG!D11</f>
        <v>8587</v>
      </c>
      <c r="M14" s="40">
        <f>'Tr.C'!D11</f>
        <v>5613</v>
      </c>
      <c r="N14" s="40">
        <f>'T.Ch'!D11</f>
        <v>9370</v>
      </c>
      <c r="O14" s="40">
        <f>NT!D11</f>
        <v>6647</v>
      </c>
      <c r="P14" s="40">
        <f>ML!D11</f>
        <v>4764</v>
      </c>
      <c r="Q14" s="40">
        <f>'BL'!D11</f>
        <v>6792</v>
      </c>
      <c r="R14" s="40">
        <f>MN!D11</f>
        <v>6058</v>
      </c>
      <c r="S14" s="40">
        <f>'M.C'!D11</f>
        <v>4446</v>
      </c>
      <c r="T14" s="40">
        <f>'M.Nh'!D11</f>
        <v>9899</v>
      </c>
      <c r="U14" s="40">
        <f>'C.Cang'!D11</f>
        <v>5662</v>
      </c>
      <c r="V14" s="40">
        <f>TST!D11</f>
        <v>4139</v>
      </c>
      <c r="W14" s="40">
        <f>'T.Nưa'!D11</f>
        <v>5370</v>
      </c>
      <c r="X14" s="40"/>
      <c r="Y14" s="40">
        <f>'N.P'!D11</f>
        <v>5260</v>
      </c>
      <c r="Z14" s="40">
        <f>LTV!D11</f>
        <v>6200</v>
      </c>
      <c r="AA14" s="40">
        <f>'Q.T'!C11</f>
        <v>11049</v>
      </c>
      <c r="AB14" s="40">
        <f>'Quyết Tiến'!C11</f>
        <v>5541</v>
      </c>
      <c r="AC14" s="40">
        <f>'DTNT tỉnh'!D11</f>
        <v>11675</v>
      </c>
      <c r="AD14" s="40">
        <f t="shared" si="1"/>
        <v>50617</v>
      </c>
      <c r="AE14" s="40">
        <f>'DTNT ĐB'!D11</f>
        <v>7386</v>
      </c>
      <c r="AF14" s="40">
        <f>'DTNT T.C'!D11</f>
        <v>6467</v>
      </c>
      <c r="AG14" s="40">
        <f>'DTNT ĐBĐ'!D11</f>
        <v>5682</v>
      </c>
      <c r="AH14" s="40">
        <f>'DTNT TG'!D11</f>
        <v>6397</v>
      </c>
      <c r="AI14" s="40">
        <f>'DTNT M.C'!D11</f>
        <v>5518</v>
      </c>
      <c r="AJ14" s="40">
        <f>'DTNT M.N'!D11</f>
        <v>8080</v>
      </c>
      <c r="AK14" s="40">
        <f>'DTNT M.A'!D11</f>
        <v>7203</v>
      </c>
      <c r="AL14" s="40">
        <f>'DTNT Nậm Pồ'!D11</f>
        <v>3884</v>
      </c>
      <c r="AM14" s="40">
        <f>AN14+AO14</f>
        <v>3895</v>
      </c>
      <c r="AN14" s="40">
        <f>'GDTX tỉnh'!D12</f>
        <v>3895</v>
      </c>
      <c r="AO14" s="40"/>
      <c r="AP14" s="40">
        <f>NN_TH!D11</f>
        <v>1281</v>
      </c>
      <c r="AQ14" s="40">
        <f>'HN'!D11</f>
        <v>0</v>
      </c>
      <c r="AR14" s="40">
        <f>GDHN!D11</f>
        <v>2380</v>
      </c>
      <c r="AS14" s="40"/>
      <c r="AT14" s="40">
        <f>SUM(AU14:BD14)</f>
        <v>2000</v>
      </c>
      <c r="AU14" s="40"/>
      <c r="AV14" s="40"/>
      <c r="AW14" s="40"/>
      <c r="AX14" s="40"/>
      <c r="AY14" s="40"/>
      <c r="AZ14" s="40">
        <f>'Văn phòng'!I12</f>
        <v>2000</v>
      </c>
      <c r="BA14" s="40"/>
      <c r="BB14" s="40"/>
      <c r="BC14" s="40"/>
      <c r="BD14" s="40"/>
      <c r="BE14" s="41"/>
    </row>
    <row r="15" spans="1:57" s="128" customFormat="1" ht="16.5" customHeight="1">
      <c r="A15" s="181" t="s">
        <v>109</v>
      </c>
      <c r="B15" s="49">
        <f t="shared" si="2"/>
        <v>4777</v>
      </c>
      <c r="C15" s="49">
        <f t="shared" si="0"/>
        <v>3080</v>
      </c>
      <c r="D15" s="49">
        <f>MA!D12</f>
        <v>127</v>
      </c>
      <c r="E15" s="49">
        <f>MC!D12</f>
        <v>145</v>
      </c>
      <c r="F15" s="49">
        <f>TG!D12</f>
        <v>149</v>
      </c>
      <c r="G15" s="49">
        <f>TX!D12</f>
        <v>102</v>
      </c>
      <c r="H15" s="49">
        <f>TP!D12</f>
        <v>140</v>
      </c>
      <c r="I15" s="49">
        <f>ĐB!D12</f>
        <v>120</v>
      </c>
      <c r="J15" s="49">
        <f>LQĐ!D12</f>
        <v>355</v>
      </c>
      <c r="K15" s="49">
        <f>TC!D12</f>
        <v>123</v>
      </c>
      <c r="L15" s="49">
        <f>PĐG!D12</f>
        <v>123</v>
      </c>
      <c r="M15" s="49">
        <f>'Tr.C'!D12</f>
        <v>124</v>
      </c>
      <c r="N15" s="49">
        <f>'T.Ch'!D12</f>
        <v>123</v>
      </c>
      <c r="O15" s="49">
        <f>NT!D12</f>
        <v>112</v>
      </c>
      <c r="P15" s="49">
        <f>ML!D12</f>
        <v>101</v>
      </c>
      <c r="Q15" s="49">
        <f>'BL'!D12</f>
        <v>131</v>
      </c>
      <c r="R15" s="49">
        <f>MN!D12</f>
        <v>107</v>
      </c>
      <c r="S15" s="49">
        <f>'M.C'!D12</f>
        <v>95</v>
      </c>
      <c r="T15" s="49">
        <f>'M.Nh'!D12</f>
        <v>143</v>
      </c>
      <c r="U15" s="49">
        <f>'C.Cang'!D12</f>
        <v>112</v>
      </c>
      <c r="V15" s="49">
        <f>TST!D12</f>
        <v>90</v>
      </c>
      <c r="W15" s="49">
        <f>'T.Nưa'!D12</f>
        <v>90</v>
      </c>
      <c r="X15" s="49"/>
      <c r="Y15" s="49">
        <f>'N.P'!D12</f>
        <v>107</v>
      </c>
      <c r="Z15" s="49">
        <f>LTV!D12</f>
        <v>114</v>
      </c>
      <c r="AA15" s="49">
        <f>'Q.T'!C12</f>
        <v>142</v>
      </c>
      <c r="AB15" s="49">
        <f>'Quyết Tiến'!C12</f>
        <v>105</v>
      </c>
      <c r="AC15" s="49">
        <f>'DTNT tỉnh'!D12</f>
        <v>270</v>
      </c>
      <c r="AD15" s="49">
        <f t="shared" si="1"/>
        <v>1340</v>
      </c>
      <c r="AE15" s="49">
        <f>'DTNT ĐB'!D12</f>
        <v>173</v>
      </c>
      <c r="AF15" s="49">
        <f>'DTNT T.C'!D12</f>
        <v>188</v>
      </c>
      <c r="AG15" s="49">
        <f>'DTNT ĐBĐ'!D12</f>
        <v>168</v>
      </c>
      <c r="AH15" s="49">
        <f>'DTNT TG'!D12</f>
        <v>179</v>
      </c>
      <c r="AI15" s="49">
        <f>'DTNT M.C'!D12</f>
        <v>166</v>
      </c>
      <c r="AJ15" s="49">
        <f>'DTNT M.N'!D12</f>
        <v>175</v>
      </c>
      <c r="AK15" s="49">
        <f>'DTNT M.A'!D12</f>
        <v>189</v>
      </c>
      <c r="AL15" s="49">
        <f>'DTNT Nậm Pồ'!D12</f>
        <v>102</v>
      </c>
      <c r="AM15" s="49">
        <f aca="true" t="shared" si="8" ref="AM15:AM25">AN15+AO15</f>
        <v>22</v>
      </c>
      <c r="AN15" s="49">
        <f>'GDTX tỉnh'!D13</f>
        <v>22</v>
      </c>
      <c r="AO15" s="49"/>
      <c r="AP15" s="49">
        <f>NN_TH!D12</f>
        <v>10</v>
      </c>
      <c r="AQ15" s="49">
        <f>'HN'!D12</f>
        <v>0</v>
      </c>
      <c r="AR15" s="49">
        <f>GDHN!C12</f>
        <v>55</v>
      </c>
      <c r="AS15" s="49"/>
      <c r="AT15" s="49">
        <f>SUM(AU15:BD15)</f>
        <v>0</v>
      </c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127"/>
    </row>
    <row r="16" spans="1:57" s="128" customFormat="1" ht="16.5" customHeight="1">
      <c r="A16" s="181" t="s">
        <v>416</v>
      </c>
      <c r="B16" s="49">
        <f>C16+AC16+AD16+AM16+AP16+AQ16+AR16+AS16+AT16</f>
        <v>554</v>
      </c>
      <c r="C16" s="49">
        <f t="shared" si="0"/>
        <v>355</v>
      </c>
      <c r="D16" s="49">
        <f>MA!D13</f>
        <v>15</v>
      </c>
      <c r="E16" s="49">
        <f>MC!D13</f>
        <v>17</v>
      </c>
      <c r="F16" s="49">
        <f>TG!D13</f>
        <v>17</v>
      </c>
      <c r="G16" s="49">
        <f>TX!D13</f>
        <v>12</v>
      </c>
      <c r="H16" s="49">
        <f>TP!D13</f>
        <v>16</v>
      </c>
      <c r="I16" s="49">
        <f>ĐB!D13</f>
        <v>14</v>
      </c>
      <c r="J16" s="49">
        <f>LQĐ!D13</f>
        <v>41</v>
      </c>
      <c r="K16" s="49">
        <f>TC!D13</f>
        <v>14</v>
      </c>
      <c r="L16" s="49">
        <f>PĐG!D13</f>
        <v>14</v>
      </c>
      <c r="M16" s="49">
        <f>'Tr.C'!D13</f>
        <v>14</v>
      </c>
      <c r="N16" s="49">
        <f>'T.Ch'!D13</f>
        <v>14</v>
      </c>
      <c r="O16" s="49">
        <f>NT!D13</f>
        <v>13</v>
      </c>
      <c r="P16" s="49">
        <f>ML!D13</f>
        <v>12</v>
      </c>
      <c r="Q16" s="49">
        <f>'BL'!D13</f>
        <v>15</v>
      </c>
      <c r="R16" s="49">
        <f>MN!D13</f>
        <v>12</v>
      </c>
      <c r="S16" s="49">
        <f>'M.C'!D13</f>
        <v>11</v>
      </c>
      <c r="T16" s="49">
        <f>'M.Nh'!D13</f>
        <v>17</v>
      </c>
      <c r="U16" s="49">
        <f>'C.Cang'!D13</f>
        <v>13</v>
      </c>
      <c r="V16" s="49">
        <f>TST!D13</f>
        <v>10</v>
      </c>
      <c r="W16" s="49">
        <f>'T.Nưa'!D13</f>
        <v>10</v>
      </c>
      <c r="X16" s="49"/>
      <c r="Y16" s="49">
        <f>'N.P'!D13</f>
        <v>12</v>
      </c>
      <c r="Z16" s="49">
        <f>LTV!D13</f>
        <v>13</v>
      </c>
      <c r="AA16" s="49">
        <f>'Q.T'!C13</f>
        <v>17</v>
      </c>
      <c r="AB16" s="49">
        <f>'Quyết Tiến'!C13</f>
        <v>12</v>
      </c>
      <c r="AC16" s="49">
        <f>'DTNT tỉnh'!D13</f>
        <v>33</v>
      </c>
      <c r="AD16" s="49">
        <f>SUM(AE16:AL16)</f>
        <v>156</v>
      </c>
      <c r="AE16" s="49">
        <f>'DTNT ĐB'!D13</f>
        <v>20</v>
      </c>
      <c r="AF16" s="49">
        <f>'DTNT T.C'!D13</f>
        <v>22</v>
      </c>
      <c r="AG16" s="49">
        <f>'DTNT ĐBĐ'!D13</f>
        <v>20</v>
      </c>
      <c r="AH16" s="49">
        <f>'DTNT TG'!D13</f>
        <v>21</v>
      </c>
      <c r="AI16" s="49">
        <f>'DTNT M.C'!D13</f>
        <v>19</v>
      </c>
      <c r="AJ16" s="49">
        <f>'DTNT M.N'!D13</f>
        <v>20</v>
      </c>
      <c r="AK16" s="49">
        <f>'DTNT M.A'!D13</f>
        <v>22</v>
      </c>
      <c r="AL16" s="49">
        <f>'DTNT Nậm Pồ'!D13</f>
        <v>12</v>
      </c>
      <c r="AM16" s="49">
        <f t="shared" si="8"/>
        <v>3</v>
      </c>
      <c r="AN16" s="49">
        <f>'GDTX tỉnh'!D14</f>
        <v>3</v>
      </c>
      <c r="AO16" s="49"/>
      <c r="AP16" s="49">
        <f>NN_TH!D13</f>
        <v>1</v>
      </c>
      <c r="AQ16" s="49">
        <f>'HN'!D13</f>
        <v>0</v>
      </c>
      <c r="AR16" s="49">
        <f>GDHN!C13</f>
        <v>6</v>
      </c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127"/>
    </row>
    <row r="17" spans="1:57" s="42" customFormat="1" ht="15.75">
      <c r="A17" s="45" t="s">
        <v>199</v>
      </c>
      <c r="B17" s="40">
        <f t="shared" si="2"/>
        <v>145732</v>
      </c>
      <c r="C17" s="40">
        <f t="shared" si="0"/>
        <v>54099</v>
      </c>
      <c r="D17" s="40">
        <f>MA!D14</f>
        <v>1799</v>
      </c>
      <c r="E17" s="40">
        <f>MC!D14</f>
        <v>4283</v>
      </c>
      <c r="F17" s="40">
        <f>TG!D14</f>
        <v>3660</v>
      </c>
      <c r="G17" s="40">
        <f>TX!D14</f>
        <v>1132</v>
      </c>
      <c r="H17" s="40">
        <f>TP!D14</f>
        <v>151</v>
      </c>
      <c r="I17" s="40">
        <f>ĐB!D14</f>
        <v>769</v>
      </c>
      <c r="J17" s="179">
        <f>LQĐ!D14</f>
        <v>28</v>
      </c>
      <c r="K17" s="40">
        <f>TC!D14</f>
        <v>3023</v>
      </c>
      <c r="L17" s="40">
        <f>PĐG!D14</f>
        <v>2375</v>
      </c>
      <c r="M17" s="40">
        <f>'Tr.C'!D14</f>
        <v>5039</v>
      </c>
      <c r="N17" s="40">
        <f>'T.Ch'!D14</f>
        <v>1522</v>
      </c>
      <c r="O17" s="40">
        <f>NT!D14</f>
        <v>925</v>
      </c>
      <c r="P17" s="40">
        <f>ML!D14</f>
        <v>1774</v>
      </c>
      <c r="Q17" s="40">
        <f>'BL'!D14</f>
        <v>3047</v>
      </c>
      <c r="R17" s="40">
        <f>MN!D14</f>
        <v>1990</v>
      </c>
      <c r="S17" s="40">
        <f>'M.C'!D14</f>
        <v>1929</v>
      </c>
      <c r="T17" s="40">
        <f>'M.Nh'!D14</f>
        <v>5693</v>
      </c>
      <c r="U17" s="40">
        <f>'C.Cang'!D14</f>
        <v>3153</v>
      </c>
      <c r="V17" s="40">
        <f>TST!D14</f>
        <v>2380</v>
      </c>
      <c r="W17" s="40">
        <f>'T.Nưa'!D14</f>
        <v>1339</v>
      </c>
      <c r="X17" s="40"/>
      <c r="Y17" s="40">
        <f>'N.P'!D14</f>
        <v>2964</v>
      </c>
      <c r="Z17" s="40">
        <f>LTV!D14</f>
        <v>27</v>
      </c>
      <c r="AA17" s="40">
        <f>'Q.T'!C14</f>
        <v>2008</v>
      </c>
      <c r="AB17" s="40">
        <f>'Quyết Tiến'!C14</f>
        <v>3089</v>
      </c>
      <c r="AC17" s="40">
        <f>'DTNT tỉnh'!D14</f>
        <v>8026</v>
      </c>
      <c r="AD17" s="40">
        <f>SUM(AE17:AL17)</f>
        <v>38070</v>
      </c>
      <c r="AE17" s="40">
        <f>'DTNT ĐB'!D14</f>
        <v>4770</v>
      </c>
      <c r="AF17" s="40">
        <f>'DTNT T.C'!D14</f>
        <v>4753</v>
      </c>
      <c r="AG17" s="40">
        <f>'DTNT ĐBĐ'!D14</f>
        <v>4754</v>
      </c>
      <c r="AH17" s="40">
        <f>'DTNT TG'!D14</f>
        <v>4753</v>
      </c>
      <c r="AI17" s="40">
        <f>'DTNT M.C'!D14</f>
        <v>4754</v>
      </c>
      <c r="AJ17" s="40">
        <f>'DTNT M.N'!D14</f>
        <v>4779</v>
      </c>
      <c r="AK17" s="40">
        <f>'DTNT M.A'!D14</f>
        <v>4754</v>
      </c>
      <c r="AL17" s="40">
        <f>'DTNT Nậm Pồ'!D14</f>
        <v>4753</v>
      </c>
      <c r="AM17" s="40">
        <f t="shared" si="8"/>
        <v>72</v>
      </c>
      <c r="AN17" s="40">
        <f>'GDTX tỉnh'!D15</f>
        <v>72</v>
      </c>
      <c r="AO17" s="40"/>
      <c r="AP17" s="40"/>
      <c r="AQ17" s="40"/>
      <c r="AR17" s="40">
        <f>GDHN!C14</f>
        <v>265</v>
      </c>
      <c r="AS17" s="40"/>
      <c r="AT17" s="40">
        <f aca="true" t="shared" si="9" ref="AT17:AT41">SUM(AU17:BD17)</f>
        <v>45200</v>
      </c>
      <c r="AU17" s="40"/>
      <c r="AV17" s="40"/>
      <c r="AW17" s="40"/>
      <c r="AX17" s="40">
        <f>'Văn phòng'!G14</f>
        <v>0</v>
      </c>
      <c r="AY17" s="40">
        <f>'Văn phòng'!H14</f>
        <v>0</v>
      </c>
      <c r="AZ17" s="40">
        <f>'Văn phòng'!I14</f>
        <v>45200</v>
      </c>
      <c r="BA17" s="40">
        <f>'Văn phòng'!J14</f>
        <v>0</v>
      </c>
      <c r="BB17" s="40"/>
      <c r="BC17" s="40"/>
      <c r="BD17" s="40"/>
      <c r="BE17" s="129"/>
    </row>
    <row r="18" spans="1:57" s="35" customFormat="1" ht="16.5" customHeight="1">
      <c r="A18" s="46" t="s">
        <v>110</v>
      </c>
      <c r="B18" s="47">
        <f t="shared" si="2"/>
        <v>31725</v>
      </c>
      <c r="C18" s="47">
        <f>SUM(D18:AB18)</f>
        <v>0</v>
      </c>
      <c r="D18" s="47">
        <f>D19+D21</f>
        <v>0</v>
      </c>
      <c r="E18" s="47">
        <f aca="true" t="shared" si="10" ref="E18:BD18">E19+E21</f>
        <v>0</v>
      </c>
      <c r="F18" s="47">
        <f t="shared" si="10"/>
        <v>0</v>
      </c>
      <c r="G18" s="47">
        <f t="shared" si="10"/>
        <v>0</v>
      </c>
      <c r="H18" s="47">
        <f t="shared" si="10"/>
        <v>0</v>
      </c>
      <c r="I18" s="47">
        <f t="shared" si="10"/>
        <v>0</v>
      </c>
      <c r="J18" s="47">
        <f t="shared" si="10"/>
        <v>0</v>
      </c>
      <c r="K18" s="47">
        <f t="shared" si="10"/>
        <v>0</v>
      </c>
      <c r="L18" s="47">
        <f t="shared" si="10"/>
        <v>0</v>
      </c>
      <c r="M18" s="47">
        <f t="shared" si="10"/>
        <v>0</v>
      </c>
      <c r="N18" s="47">
        <f t="shared" si="10"/>
        <v>0</v>
      </c>
      <c r="O18" s="47">
        <f t="shared" si="10"/>
        <v>0</v>
      </c>
      <c r="P18" s="47">
        <f t="shared" si="10"/>
        <v>0</v>
      </c>
      <c r="Q18" s="47">
        <f t="shared" si="10"/>
        <v>0</v>
      </c>
      <c r="R18" s="47">
        <f t="shared" si="10"/>
        <v>0</v>
      </c>
      <c r="S18" s="47">
        <f t="shared" si="10"/>
        <v>0</v>
      </c>
      <c r="T18" s="47">
        <f t="shared" si="10"/>
        <v>0</v>
      </c>
      <c r="U18" s="47">
        <f t="shared" si="10"/>
        <v>0</v>
      </c>
      <c r="V18" s="47">
        <f t="shared" si="10"/>
        <v>0</v>
      </c>
      <c r="W18" s="47">
        <f t="shared" si="10"/>
        <v>0</v>
      </c>
      <c r="X18" s="47">
        <f t="shared" si="10"/>
        <v>0</v>
      </c>
      <c r="Y18" s="47">
        <f t="shared" si="10"/>
        <v>0</v>
      </c>
      <c r="Z18" s="47">
        <f t="shared" si="10"/>
        <v>0</v>
      </c>
      <c r="AA18" s="47">
        <f>AA19+AA21</f>
        <v>0</v>
      </c>
      <c r="AB18" s="47">
        <f t="shared" si="10"/>
        <v>0</v>
      </c>
      <c r="AC18" s="47">
        <f t="shared" si="10"/>
        <v>0</v>
      </c>
      <c r="AD18" s="40">
        <f t="shared" si="1"/>
        <v>0</v>
      </c>
      <c r="AE18" s="47">
        <f t="shared" si="10"/>
        <v>0</v>
      </c>
      <c r="AF18" s="47">
        <f t="shared" si="10"/>
        <v>0</v>
      </c>
      <c r="AG18" s="47">
        <f t="shared" si="10"/>
        <v>0</v>
      </c>
      <c r="AH18" s="47">
        <f t="shared" si="10"/>
        <v>0</v>
      </c>
      <c r="AI18" s="47">
        <f t="shared" si="10"/>
        <v>0</v>
      </c>
      <c r="AJ18" s="47">
        <f t="shared" si="10"/>
        <v>0</v>
      </c>
      <c r="AK18" s="47">
        <f t="shared" si="10"/>
        <v>0</v>
      </c>
      <c r="AL18" s="47"/>
      <c r="AM18" s="47">
        <f t="shared" si="10"/>
        <v>961</v>
      </c>
      <c r="AN18" s="47">
        <f t="shared" si="10"/>
        <v>0</v>
      </c>
      <c r="AO18" s="47">
        <f t="shared" si="10"/>
        <v>961</v>
      </c>
      <c r="AP18" s="47">
        <f t="shared" si="10"/>
        <v>0</v>
      </c>
      <c r="AQ18" s="47">
        <f t="shared" si="10"/>
        <v>0</v>
      </c>
      <c r="AR18" s="47">
        <f t="shared" si="10"/>
        <v>0</v>
      </c>
      <c r="AS18" s="47">
        <f>AS19+AS21</f>
        <v>27152</v>
      </c>
      <c r="AT18" s="47">
        <f t="shared" si="9"/>
        <v>3612</v>
      </c>
      <c r="AU18" s="47"/>
      <c r="AV18" s="47"/>
      <c r="AW18" s="47">
        <f t="shared" si="10"/>
        <v>0</v>
      </c>
      <c r="AX18" s="47">
        <f t="shared" si="10"/>
        <v>0</v>
      </c>
      <c r="AY18" s="47"/>
      <c r="AZ18" s="47">
        <f t="shared" si="10"/>
        <v>0</v>
      </c>
      <c r="BA18" s="47"/>
      <c r="BB18" s="47">
        <f t="shared" si="10"/>
        <v>2912</v>
      </c>
      <c r="BC18" s="47">
        <f t="shared" si="10"/>
        <v>700</v>
      </c>
      <c r="BD18" s="47">
        <f t="shared" si="10"/>
        <v>0</v>
      </c>
      <c r="BE18" s="50"/>
    </row>
    <row r="19" spans="1:57" s="42" customFormat="1" ht="16.5" customHeight="1">
      <c r="A19" s="45" t="s">
        <v>200</v>
      </c>
      <c r="B19" s="40">
        <f t="shared" si="2"/>
        <v>23873</v>
      </c>
      <c r="C19" s="40">
        <f>SUM(D19:AB19)</f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>
        <f t="shared" si="1"/>
        <v>0</v>
      </c>
      <c r="AE19" s="40"/>
      <c r="AF19" s="40"/>
      <c r="AG19" s="40"/>
      <c r="AH19" s="40"/>
      <c r="AI19" s="40"/>
      <c r="AJ19" s="40"/>
      <c r="AK19" s="40"/>
      <c r="AL19" s="40"/>
      <c r="AM19" s="49">
        <f t="shared" si="8"/>
        <v>0</v>
      </c>
      <c r="AN19" s="40"/>
      <c r="AO19" s="40"/>
      <c r="AP19" s="40"/>
      <c r="AQ19" s="40"/>
      <c r="AR19" s="40"/>
      <c r="AS19" s="40">
        <f>CĐSP!D11</f>
        <v>23873</v>
      </c>
      <c r="AT19" s="40">
        <f t="shared" si="9"/>
        <v>0</v>
      </c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1"/>
    </row>
    <row r="20" spans="1:57" s="128" customFormat="1" ht="16.5" customHeight="1">
      <c r="A20" s="181" t="s">
        <v>109</v>
      </c>
      <c r="B20" s="49">
        <f t="shared" si="2"/>
        <v>410</v>
      </c>
      <c r="C20" s="49">
        <f>SUM(D20:AB20)</f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>
        <f t="shared" si="1"/>
        <v>0</v>
      </c>
      <c r="AE20" s="49"/>
      <c r="AF20" s="49"/>
      <c r="AG20" s="49"/>
      <c r="AH20" s="49"/>
      <c r="AI20" s="49"/>
      <c r="AJ20" s="49"/>
      <c r="AK20" s="49"/>
      <c r="AL20" s="49"/>
      <c r="AM20" s="49">
        <f t="shared" si="8"/>
        <v>0</v>
      </c>
      <c r="AN20" s="49"/>
      <c r="AO20" s="49"/>
      <c r="AP20" s="49"/>
      <c r="AQ20" s="49"/>
      <c r="AR20" s="49"/>
      <c r="AS20" s="49">
        <f>CĐSP!D12</f>
        <v>410</v>
      </c>
      <c r="AT20" s="49">
        <f t="shared" si="9"/>
        <v>0</v>
      </c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127"/>
    </row>
    <row r="21" spans="1:57" s="42" customFormat="1" ht="16.5" customHeight="1">
      <c r="A21" s="45" t="s">
        <v>201</v>
      </c>
      <c r="B21" s="40">
        <f t="shared" si="2"/>
        <v>7852</v>
      </c>
      <c r="C21" s="49">
        <f aca="true" t="shared" si="11" ref="C21:C41">SUM(D21:AB21)</f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>
        <f t="shared" si="1"/>
        <v>0</v>
      </c>
      <c r="AE21" s="40"/>
      <c r="AF21" s="40"/>
      <c r="AG21" s="40"/>
      <c r="AH21" s="40"/>
      <c r="AI21" s="40"/>
      <c r="AJ21" s="40"/>
      <c r="AK21" s="40"/>
      <c r="AL21" s="40"/>
      <c r="AM21" s="40">
        <f t="shared" si="8"/>
        <v>961</v>
      </c>
      <c r="AN21" s="40"/>
      <c r="AO21" s="40">
        <f>'GDTX tỉnh'!E23</f>
        <v>961</v>
      </c>
      <c r="AP21" s="40"/>
      <c r="AQ21" s="40"/>
      <c r="AR21" s="40"/>
      <c r="AS21" s="40">
        <f>CĐSP!D13</f>
        <v>3279</v>
      </c>
      <c r="AT21" s="40">
        <f t="shared" si="9"/>
        <v>3612</v>
      </c>
      <c r="AU21" s="40"/>
      <c r="AV21" s="40"/>
      <c r="AW21" s="40"/>
      <c r="AX21" s="40"/>
      <c r="AY21" s="40"/>
      <c r="AZ21" s="40"/>
      <c r="BA21" s="40"/>
      <c r="BB21" s="40">
        <f>'Văn phòng'!K26</f>
        <v>2912</v>
      </c>
      <c r="BC21" s="40">
        <f>'Văn phòng'!L26</f>
        <v>700</v>
      </c>
      <c r="BD21" s="40">
        <f>'Văn phòng'!M26</f>
        <v>0</v>
      </c>
      <c r="BE21" s="41"/>
    </row>
    <row r="22" spans="1:57" s="35" customFormat="1" ht="16.5" customHeight="1">
      <c r="A22" s="46" t="s">
        <v>197</v>
      </c>
      <c r="B22" s="47">
        <f t="shared" si="2"/>
        <v>9091</v>
      </c>
      <c r="C22" s="49">
        <f t="shared" si="11"/>
        <v>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0">
        <f t="shared" si="1"/>
        <v>0</v>
      </c>
      <c r="AE22" s="47"/>
      <c r="AF22" s="47"/>
      <c r="AG22" s="47"/>
      <c r="AH22" s="47"/>
      <c r="AI22" s="47"/>
      <c r="AJ22" s="47"/>
      <c r="AK22" s="47"/>
      <c r="AL22" s="47"/>
      <c r="AM22" s="49">
        <f t="shared" si="8"/>
        <v>0</v>
      </c>
      <c r="AN22" s="47"/>
      <c r="AO22" s="47"/>
      <c r="AP22" s="47"/>
      <c r="AQ22" s="47"/>
      <c r="AR22" s="47"/>
      <c r="AS22" s="47"/>
      <c r="AT22" s="47">
        <f t="shared" si="9"/>
        <v>9091</v>
      </c>
      <c r="AU22" s="47"/>
      <c r="AV22" s="47"/>
      <c r="AW22" s="47">
        <f>AW23+AW25</f>
        <v>9091</v>
      </c>
      <c r="AX22" s="47">
        <f>AX23+AX25</f>
        <v>0</v>
      </c>
      <c r="AY22" s="47"/>
      <c r="AZ22" s="47">
        <f>AZ23+AZ25</f>
        <v>0</v>
      </c>
      <c r="BA22" s="47"/>
      <c r="BB22" s="47">
        <f>BB23+BB25</f>
        <v>0</v>
      </c>
      <c r="BC22" s="47">
        <f>BC23+BC25</f>
        <v>0</v>
      </c>
      <c r="BD22" s="174"/>
      <c r="BE22" s="76"/>
    </row>
    <row r="23" spans="1:57" s="42" customFormat="1" ht="16.5" customHeight="1">
      <c r="A23" s="45" t="s">
        <v>202</v>
      </c>
      <c r="B23" s="40">
        <f t="shared" si="2"/>
        <v>9071</v>
      </c>
      <c r="C23" s="49">
        <f t="shared" si="11"/>
        <v>0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>
        <f t="shared" si="1"/>
        <v>0</v>
      </c>
      <c r="AE23" s="40"/>
      <c r="AF23" s="40"/>
      <c r="AG23" s="40"/>
      <c r="AH23" s="40"/>
      <c r="AI23" s="40"/>
      <c r="AJ23" s="40"/>
      <c r="AK23" s="40"/>
      <c r="AL23" s="40"/>
      <c r="AM23" s="49">
        <f t="shared" si="8"/>
        <v>0</v>
      </c>
      <c r="AN23" s="40"/>
      <c r="AO23" s="40"/>
      <c r="AP23" s="40"/>
      <c r="AQ23" s="40"/>
      <c r="AR23" s="40"/>
      <c r="AS23" s="40"/>
      <c r="AT23" s="40">
        <f t="shared" si="9"/>
        <v>9071</v>
      </c>
      <c r="AU23" s="40"/>
      <c r="AV23" s="40"/>
      <c r="AW23" s="40">
        <f>'Văn phòng'!F34</f>
        <v>9071</v>
      </c>
      <c r="AX23" s="40"/>
      <c r="AY23" s="40"/>
      <c r="AZ23" s="40"/>
      <c r="BA23" s="40"/>
      <c r="BB23" s="40"/>
      <c r="BC23" s="40"/>
      <c r="BD23" s="40"/>
      <c r="BE23" s="41"/>
    </row>
    <row r="24" spans="1:57" s="128" customFormat="1" ht="16.5" customHeight="1">
      <c r="A24" s="181" t="s">
        <v>109</v>
      </c>
      <c r="B24" s="49">
        <f t="shared" si="2"/>
        <v>201</v>
      </c>
      <c r="C24" s="49">
        <f t="shared" si="11"/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>
        <f t="shared" si="1"/>
        <v>0</v>
      </c>
      <c r="AE24" s="49"/>
      <c r="AF24" s="49"/>
      <c r="AG24" s="49"/>
      <c r="AH24" s="49"/>
      <c r="AI24" s="49"/>
      <c r="AJ24" s="49"/>
      <c r="AK24" s="49"/>
      <c r="AL24" s="49"/>
      <c r="AM24" s="49">
        <f t="shared" si="8"/>
        <v>0</v>
      </c>
      <c r="AN24" s="49"/>
      <c r="AO24" s="49"/>
      <c r="AP24" s="49"/>
      <c r="AQ24" s="49"/>
      <c r="AR24" s="49"/>
      <c r="AS24" s="49"/>
      <c r="AT24" s="49">
        <f t="shared" si="9"/>
        <v>201</v>
      </c>
      <c r="AU24" s="49"/>
      <c r="AV24" s="49"/>
      <c r="AW24" s="49">
        <f>'Văn phòng'!F35</f>
        <v>201</v>
      </c>
      <c r="AX24" s="49"/>
      <c r="AY24" s="49"/>
      <c r="AZ24" s="49"/>
      <c r="BA24" s="49"/>
      <c r="BB24" s="49"/>
      <c r="BC24" s="49"/>
      <c r="BD24" s="49"/>
      <c r="BE24" s="127"/>
    </row>
    <row r="25" spans="1:57" s="42" customFormat="1" ht="15.75">
      <c r="A25" s="45" t="s">
        <v>203</v>
      </c>
      <c r="B25" s="40">
        <f t="shared" si="2"/>
        <v>20</v>
      </c>
      <c r="C25" s="49">
        <f t="shared" si="11"/>
        <v>0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>
        <f t="shared" si="1"/>
        <v>0</v>
      </c>
      <c r="AE25" s="40"/>
      <c r="AF25" s="40"/>
      <c r="AG25" s="40"/>
      <c r="AH25" s="40"/>
      <c r="AI25" s="40"/>
      <c r="AJ25" s="40"/>
      <c r="AK25" s="40"/>
      <c r="AL25" s="40"/>
      <c r="AM25" s="49">
        <f t="shared" si="8"/>
        <v>0</v>
      </c>
      <c r="AN25" s="40"/>
      <c r="AO25" s="40"/>
      <c r="AP25" s="40"/>
      <c r="AQ25" s="40"/>
      <c r="AR25" s="40"/>
      <c r="AS25" s="40"/>
      <c r="AT25" s="40">
        <f t="shared" si="9"/>
        <v>20</v>
      </c>
      <c r="AU25" s="40"/>
      <c r="AV25" s="40"/>
      <c r="AW25" s="40">
        <f>'Văn phòng'!F36</f>
        <v>20</v>
      </c>
      <c r="AX25" s="40"/>
      <c r="AY25" s="40"/>
      <c r="AZ25" s="40"/>
      <c r="BA25" s="40"/>
      <c r="BB25" s="40"/>
      <c r="BC25" s="40"/>
      <c r="BD25" s="40"/>
      <c r="BE25" s="129"/>
    </row>
    <row r="26" spans="1:57" s="35" customFormat="1" ht="36.75" customHeight="1" hidden="1">
      <c r="A26" s="137" t="s">
        <v>204</v>
      </c>
      <c r="B26" s="47">
        <f t="shared" si="2"/>
        <v>0</v>
      </c>
      <c r="C26" s="49">
        <f t="shared" si="11"/>
        <v>0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0">
        <f t="shared" si="1"/>
        <v>0</v>
      </c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>
        <f t="shared" si="9"/>
        <v>0</v>
      </c>
      <c r="AU26" s="47">
        <f>AU27+AU29</f>
        <v>0</v>
      </c>
      <c r="AV26" s="47">
        <f>AV27+AV29</f>
        <v>0</v>
      </c>
      <c r="AW26" s="47">
        <f>AW27+AW29</f>
        <v>0</v>
      </c>
      <c r="AX26" s="47">
        <f aca="true" t="shared" si="12" ref="AX26:BD26">AX27+AX29</f>
        <v>0</v>
      </c>
      <c r="AY26" s="47">
        <f t="shared" si="12"/>
        <v>0</v>
      </c>
      <c r="AZ26" s="47">
        <f t="shared" si="12"/>
        <v>0</v>
      </c>
      <c r="BA26" s="47">
        <f t="shared" si="12"/>
        <v>0</v>
      </c>
      <c r="BB26" s="47">
        <f t="shared" si="12"/>
        <v>0</v>
      </c>
      <c r="BC26" s="47">
        <f t="shared" si="12"/>
        <v>0</v>
      </c>
      <c r="BD26" s="47">
        <f t="shared" si="12"/>
        <v>0</v>
      </c>
      <c r="BE26" s="76"/>
    </row>
    <row r="27" spans="1:57" s="42" customFormat="1" ht="16.5" customHeight="1" hidden="1">
      <c r="A27" s="45" t="s">
        <v>205</v>
      </c>
      <c r="B27" s="47">
        <f t="shared" si="2"/>
        <v>0</v>
      </c>
      <c r="C27" s="49">
        <f t="shared" si="11"/>
        <v>0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>
        <f t="shared" si="1"/>
        <v>0</v>
      </c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>
        <f t="shared" si="9"/>
        <v>0</v>
      </c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1"/>
    </row>
    <row r="28" spans="1:57" s="44" customFormat="1" ht="16.5" customHeight="1" hidden="1">
      <c r="A28" s="48" t="s">
        <v>109</v>
      </c>
      <c r="B28" s="47">
        <f t="shared" si="2"/>
        <v>0</v>
      </c>
      <c r="C28" s="49">
        <f t="shared" si="11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0">
        <f t="shared" si="1"/>
        <v>0</v>
      </c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0">
        <f t="shared" si="9"/>
        <v>0</v>
      </c>
      <c r="AU28" s="47"/>
      <c r="AV28" s="47"/>
      <c r="AW28" s="49"/>
      <c r="AX28" s="49"/>
      <c r="AY28" s="49"/>
      <c r="AZ28" s="49"/>
      <c r="BA28" s="49"/>
      <c r="BB28" s="49"/>
      <c r="BC28" s="49"/>
      <c r="BD28" s="49"/>
      <c r="BE28" s="43"/>
    </row>
    <row r="29" spans="1:57" s="42" customFormat="1" ht="15.75" hidden="1">
      <c r="A29" s="45" t="s">
        <v>206</v>
      </c>
      <c r="B29" s="47">
        <f t="shared" si="2"/>
        <v>0</v>
      </c>
      <c r="C29" s="49">
        <f t="shared" si="11"/>
        <v>0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>
        <f t="shared" si="1"/>
        <v>0</v>
      </c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>
        <f t="shared" si="9"/>
        <v>0</v>
      </c>
      <c r="AU29" s="40"/>
      <c r="AV29" s="40"/>
      <c r="AW29" s="40"/>
      <c r="AX29" s="40">
        <f>'Văn phòng'!G40</f>
        <v>0</v>
      </c>
      <c r="AY29" s="40"/>
      <c r="AZ29" s="40"/>
      <c r="BA29" s="40"/>
      <c r="BB29" s="40"/>
      <c r="BC29" s="40"/>
      <c r="BD29" s="40"/>
      <c r="BE29" s="129"/>
    </row>
    <row r="30" spans="1:57" s="42" customFormat="1" ht="29.25" hidden="1">
      <c r="A30" s="137" t="s">
        <v>278</v>
      </c>
      <c r="B30" s="47">
        <f t="shared" si="2"/>
        <v>0</v>
      </c>
      <c r="C30" s="49">
        <f t="shared" si="11"/>
        <v>0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>
        <f t="shared" si="1"/>
        <v>0</v>
      </c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7">
        <f t="shared" si="9"/>
        <v>0</v>
      </c>
      <c r="AU30" s="47">
        <f>AU31+AU33</f>
        <v>0</v>
      </c>
      <c r="AV30" s="47">
        <f>AV31+AV33</f>
        <v>0</v>
      </c>
      <c r="AW30" s="47">
        <f>AW31+AW33</f>
        <v>0</v>
      </c>
      <c r="AX30" s="47">
        <f aca="true" t="shared" si="13" ref="AX30:BD30">AX31+AX33</f>
        <v>0</v>
      </c>
      <c r="AY30" s="47">
        <f t="shared" si="13"/>
        <v>0</v>
      </c>
      <c r="AZ30" s="47">
        <f t="shared" si="13"/>
        <v>0</v>
      </c>
      <c r="BA30" s="47">
        <f t="shared" si="13"/>
        <v>0</v>
      </c>
      <c r="BB30" s="47">
        <f t="shared" si="13"/>
        <v>0</v>
      </c>
      <c r="BC30" s="47">
        <f t="shared" si="13"/>
        <v>0</v>
      </c>
      <c r="BD30" s="47">
        <f t="shared" si="13"/>
        <v>0</v>
      </c>
      <c r="BE30" s="129"/>
    </row>
    <row r="31" spans="1:57" s="42" customFormat="1" ht="15.75" hidden="1">
      <c r="A31" s="45" t="s">
        <v>279</v>
      </c>
      <c r="B31" s="47">
        <f t="shared" si="2"/>
        <v>0</v>
      </c>
      <c r="C31" s="49">
        <f t="shared" si="11"/>
        <v>0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>
        <f t="shared" si="1"/>
        <v>0</v>
      </c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>
        <f t="shared" si="9"/>
        <v>0</v>
      </c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129"/>
    </row>
    <row r="32" spans="1:57" s="42" customFormat="1" ht="15.75" hidden="1">
      <c r="A32" s="48" t="s">
        <v>109</v>
      </c>
      <c r="B32" s="47">
        <f t="shared" si="2"/>
        <v>0</v>
      </c>
      <c r="C32" s="49">
        <f t="shared" si="11"/>
        <v>0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>
        <f t="shared" si="1"/>
        <v>0</v>
      </c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>
        <f t="shared" si="9"/>
        <v>0</v>
      </c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129"/>
    </row>
    <row r="33" spans="1:57" s="42" customFormat="1" ht="15.75" hidden="1">
      <c r="A33" s="45" t="s">
        <v>280</v>
      </c>
      <c r="B33" s="47">
        <f t="shared" si="2"/>
        <v>0</v>
      </c>
      <c r="C33" s="49">
        <f t="shared" si="11"/>
        <v>0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>
        <f t="shared" si="1"/>
        <v>0</v>
      </c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>
        <f t="shared" si="9"/>
        <v>0</v>
      </c>
      <c r="AU33" s="40"/>
      <c r="AV33" s="40"/>
      <c r="AW33" s="40"/>
      <c r="AX33" s="40">
        <f>'Văn phòng'!G45</f>
        <v>0</v>
      </c>
      <c r="AY33" s="40">
        <f>'Văn phòng'!H45</f>
        <v>0</v>
      </c>
      <c r="AZ33" s="40"/>
      <c r="BA33" s="40"/>
      <c r="BB33" s="40"/>
      <c r="BC33" s="40"/>
      <c r="BD33" s="40"/>
      <c r="BE33" s="129"/>
    </row>
    <row r="34" spans="1:57" s="42" customFormat="1" ht="43.5" hidden="1">
      <c r="A34" s="137" t="s">
        <v>283</v>
      </c>
      <c r="B34" s="47">
        <f t="shared" si="2"/>
        <v>0</v>
      </c>
      <c r="C34" s="49">
        <f t="shared" si="11"/>
        <v>0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>
        <f t="shared" si="1"/>
        <v>0</v>
      </c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7">
        <f t="shared" si="9"/>
        <v>0</v>
      </c>
      <c r="AU34" s="47">
        <f>AU35+AU37</f>
        <v>0</v>
      </c>
      <c r="AV34" s="47">
        <f>AV35+AV37</f>
        <v>0</v>
      </c>
      <c r="AW34" s="47">
        <f>AW35+AW37</f>
        <v>0</v>
      </c>
      <c r="AX34" s="47">
        <f aca="true" t="shared" si="14" ref="AX34:BD34">AX35+AX37</f>
        <v>0</v>
      </c>
      <c r="AY34" s="47">
        <f t="shared" si="14"/>
        <v>0</v>
      </c>
      <c r="AZ34" s="47">
        <f t="shared" si="14"/>
        <v>0</v>
      </c>
      <c r="BA34" s="47">
        <f t="shared" si="14"/>
        <v>0</v>
      </c>
      <c r="BB34" s="47">
        <f t="shared" si="14"/>
        <v>0</v>
      </c>
      <c r="BC34" s="47">
        <f t="shared" si="14"/>
        <v>0</v>
      </c>
      <c r="BD34" s="47">
        <f t="shared" si="14"/>
        <v>0</v>
      </c>
      <c r="BE34" s="129"/>
    </row>
    <row r="35" spans="1:57" s="42" customFormat="1" ht="15.75" hidden="1">
      <c r="A35" s="45" t="s">
        <v>281</v>
      </c>
      <c r="B35" s="47">
        <f t="shared" si="2"/>
        <v>0</v>
      </c>
      <c r="C35" s="49">
        <f t="shared" si="11"/>
        <v>0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>
        <f t="shared" si="1"/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>
        <f t="shared" si="9"/>
        <v>0</v>
      </c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129"/>
    </row>
    <row r="36" spans="1:57" s="42" customFormat="1" ht="15.75" hidden="1">
      <c r="A36" s="48" t="s">
        <v>109</v>
      </c>
      <c r="B36" s="47">
        <f t="shared" si="2"/>
        <v>0</v>
      </c>
      <c r="C36" s="49">
        <f t="shared" si="11"/>
        <v>0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>
        <f t="shared" si="1"/>
        <v>0</v>
      </c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>
        <f t="shared" si="9"/>
        <v>0</v>
      </c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129"/>
    </row>
    <row r="37" spans="1:57" s="42" customFormat="1" ht="15.75" hidden="1">
      <c r="A37" s="45" t="s">
        <v>282</v>
      </c>
      <c r="B37" s="47">
        <f t="shared" si="2"/>
        <v>0</v>
      </c>
      <c r="C37" s="49">
        <f t="shared" si="11"/>
        <v>0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>
        <f t="shared" si="1"/>
        <v>0</v>
      </c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>
        <f t="shared" si="9"/>
        <v>0</v>
      </c>
      <c r="AU37" s="40"/>
      <c r="AV37" s="40">
        <f>'Văn phòng'!E49</f>
        <v>0</v>
      </c>
      <c r="AW37" s="40"/>
      <c r="AX37" s="40"/>
      <c r="AY37" s="40"/>
      <c r="AZ37" s="40"/>
      <c r="BA37" s="40"/>
      <c r="BB37" s="40"/>
      <c r="BC37" s="40"/>
      <c r="BD37" s="40"/>
      <c r="BE37" s="129"/>
    </row>
    <row r="38" spans="1:57" s="42" customFormat="1" ht="43.5" hidden="1">
      <c r="A38" s="137" t="s">
        <v>409</v>
      </c>
      <c r="B38" s="47">
        <f t="shared" si="2"/>
        <v>0</v>
      </c>
      <c r="C38" s="49">
        <f t="shared" si="11"/>
        <v>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>
        <f t="shared" si="1"/>
        <v>0</v>
      </c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7">
        <f t="shared" si="9"/>
        <v>0</v>
      </c>
      <c r="AU38" s="47">
        <f>AU39+AU41</f>
        <v>0</v>
      </c>
      <c r="AV38" s="47">
        <f>AV39+AV41</f>
        <v>0</v>
      </c>
      <c r="AW38" s="47">
        <f>AW39+AW41</f>
        <v>0</v>
      </c>
      <c r="AX38" s="47">
        <f aca="true" t="shared" si="15" ref="AX38:BD38">AX39+AX41</f>
        <v>0</v>
      </c>
      <c r="AY38" s="47">
        <f t="shared" si="15"/>
        <v>0</v>
      </c>
      <c r="AZ38" s="47">
        <f t="shared" si="15"/>
        <v>0</v>
      </c>
      <c r="BA38" s="47">
        <f t="shared" si="15"/>
        <v>0</v>
      </c>
      <c r="BB38" s="47">
        <f t="shared" si="15"/>
        <v>0</v>
      </c>
      <c r="BC38" s="47">
        <f t="shared" si="15"/>
        <v>0</v>
      </c>
      <c r="BD38" s="47">
        <f t="shared" si="15"/>
        <v>0</v>
      </c>
      <c r="BE38" s="129"/>
    </row>
    <row r="39" spans="1:57" s="42" customFormat="1" ht="15.75" hidden="1">
      <c r="A39" s="45" t="s">
        <v>410</v>
      </c>
      <c r="B39" s="47">
        <f t="shared" si="2"/>
        <v>0</v>
      </c>
      <c r="C39" s="49">
        <f t="shared" si="11"/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>
        <f t="shared" si="1"/>
        <v>0</v>
      </c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>
        <f t="shared" si="9"/>
        <v>0</v>
      </c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129"/>
    </row>
    <row r="40" spans="1:57" s="42" customFormat="1" ht="15.75" hidden="1">
      <c r="A40" s="48" t="s">
        <v>109</v>
      </c>
      <c r="B40" s="47">
        <f t="shared" si="2"/>
        <v>0</v>
      </c>
      <c r="C40" s="49">
        <f t="shared" si="11"/>
        <v>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>
        <f t="shared" si="1"/>
        <v>0</v>
      </c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>
        <f t="shared" si="9"/>
        <v>0</v>
      </c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129"/>
    </row>
    <row r="41" spans="1:57" s="42" customFormat="1" ht="15.75" hidden="1">
      <c r="A41" s="138" t="s">
        <v>411</v>
      </c>
      <c r="B41" s="47">
        <f t="shared" si="2"/>
        <v>0</v>
      </c>
      <c r="C41" s="140">
        <f t="shared" si="11"/>
        <v>0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40">
        <f t="shared" si="1"/>
        <v>0</v>
      </c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40">
        <f t="shared" si="9"/>
        <v>0</v>
      </c>
      <c r="AU41" s="139">
        <f>'Văn phòng'!D53</f>
        <v>0</v>
      </c>
      <c r="AV41" s="139"/>
      <c r="AW41" s="139"/>
      <c r="AX41" s="139"/>
      <c r="AY41" s="139"/>
      <c r="AZ41" s="139"/>
      <c r="BA41" s="139"/>
      <c r="BB41" s="139"/>
      <c r="BC41" s="139"/>
      <c r="BD41" s="139"/>
      <c r="BE41" s="175"/>
    </row>
    <row r="42" spans="1:57" s="42" customFormat="1" ht="22.5" customHeight="1">
      <c r="A42" s="59" t="s">
        <v>111</v>
      </c>
      <c r="B42" s="57"/>
      <c r="C42" s="54"/>
      <c r="D42" s="70" t="str">
        <f>'Mã số'!C4</f>
        <v>1031712</v>
      </c>
      <c r="E42" s="70" t="str">
        <f>'Mã số'!C5</f>
        <v>1031709</v>
      </c>
      <c r="F42" s="70" t="str">
        <f>'Mã số'!C6</f>
        <v>1031710</v>
      </c>
      <c r="G42" s="70" t="str">
        <f>'Mã số'!C7</f>
        <v>1031714</v>
      </c>
      <c r="H42" s="70" t="str">
        <f>'Mã số'!C8</f>
        <v>1031711</v>
      </c>
      <c r="I42" s="70" t="str">
        <f>'Mã số'!C9</f>
        <v>1031584</v>
      </c>
      <c r="J42" s="70" t="str">
        <f>'Mã số'!C10</f>
        <v>1031672</v>
      </c>
      <c r="K42" s="70" t="str">
        <f>'Mã số'!C11</f>
        <v>1031670</v>
      </c>
      <c r="L42" s="70" t="str">
        <f>'Mã số'!C12</f>
        <v>1031671</v>
      </c>
      <c r="M42" s="70" t="str">
        <f>'Mã số'!C13</f>
        <v>1031763</v>
      </c>
      <c r="N42" s="70" t="str">
        <f>'Mã số'!C14</f>
        <v>1031708</v>
      </c>
      <c r="O42" s="70" t="str">
        <f>'Mã số'!C16</f>
        <v>1033929</v>
      </c>
      <c r="P42" s="70" t="str">
        <f>'Mã số'!C17</f>
        <v>1033362</v>
      </c>
      <c r="Q42" s="54">
        <v>1033924</v>
      </c>
      <c r="R42" s="70" t="str">
        <f>'Mã số'!C18</f>
        <v>1033926</v>
      </c>
      <c r="S42" s="70" t="str">
        <f>'Mã số'!C20</f>
        <v>1031216</v>
      </c>
      <c r="T42" s="70" t="str">
        <f>'Mã số'!C19</f>
        <v>1031213</v>
      </c>
      <c r="U42" s="70" t="str">
        <f>'Mã số'!C21</f>
        <v>1082049</v>
      </c>
      <c r="V42" s="70" t="str">
        <f>'Mã số'!C22</f>
        <v>1082048</v>
      </c>
      <c r="W42" s="70" t="str">
        <f>'Mã số'!C23</f>
        <v>1098183</v>
      </c>
      <c r="X42" s="54"/>
      <c r="Y42" s="70" t="str">
        <f>'Mã số'!C24</f>
        <v>1123866</v>
      </c>
      <c r="Z42" s="75" t="str">
        <f>'Mã số'!C25</f>
        <v>1123865</v>
      </c>
      <c r="AA42" s="75" t="str">
        <f>'Mã số'!C26</f>
        <v>1123923</v>
      </c>
      <c r="AB42" s="75" t="str">
        <f>'Mã số'!C27</f>
        <v>1127252</v>
      </c>
      <c r="AC42" s="70" t="str">
        <f>'Mã số'!C36</f>
        <v>1031668</v>
      </c>
      <c r="AD42" s="54"/>
      <c r="AE42" s="70" t="str">
        <f>'Mã số'!C28</f>
        <v>1098180</v>
      </c>
      <c r="AF42" s="70" t="str">
        <f>'Mã số'!C31</f>
        <v>1098185</v>
      </c>
      <c r="AG42" s="70" t="str">
        <f>'Mã số'!C29</f>
        <v>1098179</v>
      </c>
      <c r="AH42" s="70" t="str">
        <f>'Mã số'!C30</f>
        <v>1098184</v>
      </c>
      <c r="AI42" s="70" t="str">
        <f>'Mã số'!C33</f>
        <v>1098181</v>
      </c>
      <c r="AJ42" s="70" t="str">
        <f>'Mã số'!C34</f>
        <v>1098182</v>
      </c>
      <c r="AK42" s="70" t="str">
        <f>'Mã số'!C32</f>
        <v>1098379</v>
      </c>
      <c r="AL42" s="75" t="str">
        <f>'Mã số'!C35</f>
        <v>1126819</v>
      </c>
      <c r="AM42" s="70" t="str">
        <f>'Mã số'!C37</f>
        <v>1031669</v>
      </c>
      <c r="AN42" s="70"/>
      <c r="AO42" s="70"/>
      <c r="AP42" s="197" t="str">
        <f>'Mã số'!C38</f>
        <v>1081039</v>
      </c>
      <c r="AQ42" s="75" t="str">
        <f>'Mã số'!C39</f>
        <v>1034193</v>
      </c>
      <c r="AR42" s="75" t="str">
        <f>'Mã số'!C40</f>
        <v>1129052</v>
      </c>
      <c r="AS42" s="75" t="str">
        <f>'Mã số'!C41</f>
        <v>1032028</v>
      </c>
      <c r="AT42" s="393" t="str">
        <f>'Mã số'!C42</f>
        <v>1031713</v>
      </c>
      <c r="AU42" s="394"/>
      <c r="AV42" s="394"/>
      <c r="AW42" s="394"/>
      <c r="AX42" s="394"/>
      <c r="AY42" s="394"/>
      <c r="AZ42" s="394"/>
      <c r="BA42" s="394"/>
      <c r="BB42" s="394"/>
      <c r="BC42" s="395"/>
      <c r="BD42" s="131"/>
      <c r="BE42" s="54"/>
    </row>
    <row r="43" spans="1:57" s="53" customFormat="1" ht="25.5" customHeight="1">
      <c r="A43" s="59" t="s">
        <v>112</v>
      </c>
      <c r="B43" s="58"/>
      <c r="C43" s="55"/>
      <c r="D43" s="71" t="str">
        <f>'Mã số'!D4</f>
        <v>2769</v>
      </c>
      <c r="E43" s="71" t="str">
        <f>'Mã số'!D5</f>
        <v>2763</v>
      </c>
      <c r="F43" s="71" t="str">
        <f>'Mã số'!D6</f>
        <v>2764</v>
      </c>
      <c r="G43" s="71" t="str">
        <f>'Mã số'!D7</f>
        <v>2765</v>
      </c>
      <c r="H43" s="71" t="str">
        <f>'Mã số'!D8</f>
        <v>2761</v>
      </c>
      <c r="I43" s="71" t="str">
        <f>'Mã số'!D9</f>
        <v>2767</v>
      </c>
      <c r="J43" s="71" t="str">
        <f>'Mã số'!D10</f>
        <v>2761</v>
      </c>
      <c r="K43" s="71" t="str">
        <f>'Mã số'!D11</f>
        <v>2762</v>
      </c>
      <c r="L43" s="71" t="str">
        <f>'Mã số'!D12</f>
        <v>2761</v>
      </c>
      <c r="M43" s="71" t="str">
        <f>'Mã số'!D13</f>
        <v>2766</v>
      </c>
      <c r="N43" s="71" t="str">
        <f>'Mã số'!D14</f>
        <v>2761</v>
      </c>
      <c r="O43" s="71" t="str">
        <f>'Mã số'!D16</f>
        <v>2761</v>
      </c>
      <c r="P43" s="71" t="str">
        <f>'Mã số'!D17</f>
        <v>2766</v>
      </c>
      <c r="Q43" s="56">
        <v>2769</v>
      </c>
      <c r="R43" s="71" t="str">
        <f>'Mã số'!D18</f>
        <v>2767</v>
      </c>
      <c r="S43" s="71" t="str">
        <f>'Mã số'!D20</f>
        <v>2764</v>
      </c>
      <c r="T43" s="71" t="str">
        <f>'Mã số'!D19</f>
        <v>2768</v>
      </c>
      <c r="U43" s="71" t="str">
        <f>'Mã số'!D21</f>
        <v>2771</v>
      </c>
      <c r="V43" s="71" t="str">
        <f>'Mã số'!D22</f>
        <v>2762</v>
      </c>
      <c r="W43" s="71" t="str">
        <f>'Mã số'!D23</f>
        <v>2761</v>
      </c>
      <c r="X43" s="56"/>
      <c r="Y43" s="71" t="str">
        <f>'Mã số'!D24</f>
        <v>2771</v>
      </c>
      <c r="Z43" s="75" t="str">
        <f>'Mã số'!D25</f>
        <v>2761</v>
      </c>
      <c r="AA43" s="135" t="str">
        <f>'Mã số'!D26</f>
        <v>2764</v>
      </c>
      <c r="AB43" s="135" t="str">
        <f>'Mã số'!D27</f>
        <v>2762</v>
      </c>
      <c r="AC43" s="71" t="str">
        <f>'Mã số'!D36</f>
        <v>2761</v>
      </c>
      <c r="AD43" s="56"/>
      <c r="AE43" s="71" t="str">
        <f>'Mã số'!D28</f>
        <v>2767</v>
      </c>
      <c r="AF43" s="71" t="str">
        <f>'Mã số'!D31</f>
        <v>2762</v>
      </c>
      <c r="AG43" s="71" t="str">
        <f>'Mã số'!D29</f>
        <v>2766</v>
      </c>
      <c r="AH43" s="71" t="str">
        <f>'Mã số'!D30</f>
        <v>2764</v>
      </c>
      <c r="AI43" s="71" t="str">
        <f>'Mã số'!D33</f>
        <v>2763</v>
      </c>
      <c r="AJ43" s="71" t="str">
        <f>'Mã số'!D34</f>
        <v>2768</v>
      </c>
      <c r="AK43" s="71" t="str">
        <f>'Mã số'!D32</f>
        <v>2769</v>
      </c>
      <c r="AL43" s="135" t="str">
        <f>'Mã số'!D35</f>
        <v>2771</v>
      </c>
      <c r="AM43" s="71" t="str">
        <f>'Mã số'!D37</f>
        <v>2761</v>
      </c>
      <c r="AN43" s="71"/>
      <c r="AO43" s="71"/>
      <c r="AP43" s="198" t="str">
        <f>'Mã số'!D38</f>
        <v>2761</v>
      </c>
      <c r="AQ43" s="135" t="str">
        <f>'Mã số'!D39</f>
        <v>2761</v>
      </c>
      <c r="AR43" s="135" t="str">
        <f>'Mã số'!D40</f>
        <v>2761</v>
      </c>
      <c r="AS43" s="135" t="str">
        <f>'Mã số'!D41</f>
        <v>2761</v>
      </c>
      <c r="AT43" s="396" t="str">
        <f>'Mã số'!D42</f>
        <v>2761</v>
      </c>
      <c r="AU43" s="397"/>
      <c r="AV43" s="397"/>
      <c r="AW43" s="397"/>
      <c r="AX43" s="397"/>
      <c r="AY43" s="397"/>
      <c r="AZ43" s="397"/>
      <c r="BA43" s="397"/>
      <c r="BB43" s="397"/>
      <c r="BC43" s="398"/>
      <c r="BD43" s="132"/>
      <c r="BE43" s="56"/>
    </row>
    <row r="44" spans="2:57" ht="12.75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</row>
    <row r="48" ht="12.75">
      <c r="B48" s="52"/>
    </row>
    <row r="52" spans="2:57" ht="12.7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</row>
  </sheetData>
  <sheetProtection/>
  <mergeCells count="11">
    <mergeCell ref="AT43:BC43"/>
    <mergeCell ref="AM3:AO3"/>
    <mergeCell ref="AC2:AP2"/>
    <mergeCell ref="AQ2:BD2"/>
    <mergeCell ref="AT3:BD3"/>
    <mergeCell ref="A2:A4"/>
    <mergeCell ref="B2:B4"/>
    <mergeCell ref="C2:N2"/>
    <mergeCell ref="O2:AB2"/>
    <mergeCell ref="BE2:BE4"/>
    <mergeCell ref="AT42:BC42"/>
  </mergeCells>
  <printOptions/>
  <pageMargins left="0.5" right="0.25" top="1.01" bottom="0.5" header="0.5" footer="0.3"/>
  <pageSetup horizontalDpi="600" verticalDpi="600" orientation="landscape" paperSize="9" scale="75" r:id="rId1"/>
  <headerFooter>
    <oddHeader>&amp;C&amp;"Times New Roman,Bold"&amp;14DỰ TOÁN THU, CHI NGÂN SÁCH NHÀ NƯỚC ĐƯỢC GIAO VÀ PHÂN BỔ CHO CÁC ĐƠN VỊ TRỰC THUỘC NĂM 2021
&amp;"Times New Roman,Italic"&amp;12(Kèm theo Quyết định số    /QĐ-SGDĐT ngày     /02/2021 của Sở Giáo dục và Đào tạo)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2">
      <selection activeCell="D21" sqref="D21"/>
    </sheetView>
  </sheetViews>
  <sheetFormatPr defaultColWidth="9.00390625" defaultRowHeight="15.75"/>
  <cols>
    <col min="1" max="1" width="5.125" style="15" customWidth="1"/>
    <col min="2" max="2" width="36.25390625" style="15" customWidth="1"/>
    <col min="3" max="3" width="10.625" style="15" customWidth="1"/>
    <col min="4" max="4" width="11.75390625" style="15" customWidth="1"/>
    <col min="5" max="5" width="24.87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46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bổ'!U42</f>
        <v>1082049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bổ'!U43</f>
        <v>2771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8815</v>
      </c>
      <c r="D10" s="12">
        <f>D11+D14</f>
        <v>8815</v>
      </c>
      <c r="E10" s="13"/>
    </row>
    <row r="11" spans="1:5" s="3" customFormat="1" ht="23.25" customHeight="1">
      <c r="A11" s="16">
        <v>1</v>
      </c>
      <c r="B11" s="13" t="s">
        <v>27</v>
      </c>
      <c r="C11" s="17">
        <f>D11</f>
        <v>5662</v>
      </c>
      <c r="D11" s="17">
        <f>Sheet2!DZ30</f>
        <v>5662</v>
      </c>
      <c r="E11" s="130"/>
    </row>
    <row r="12" spans="1:5" s="3" customFormat="1" ht="35.25" customHeight="1">
      <c r="A12" s="77"/>
      <c r="B12" s="102" t="s">
        <v>248</v>
      </c>
      <c r="C12" s="147">
        <f>D12</f>
        <v>112</v>
      </c>
      <c r="D12" s="147">
        <f>Sheet2!AX30</f>
        <v>112</v>
      </c>
      <c r="E12" s="79"/>
    </row>
    <row r="13" spans="1:5" s="3" customFormat="1" ht="35.25" customHeight="1">
      <c r="A13" s="77"/>
      <c r="B13" s="102" t="s">
        <v>417</v>
      </c>
      <c r="C13" s="126">
        <f>D13</f>
        <v>13</v>
      </c>
      <c r="D13" s="147">
        <f>Sheet2!AY30</f>
        <v>13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3153</v>
      </c>
      <c r="D14" s="17">
        <f>Sheet2!EA30</f>
        <v>3153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2">SUM(D15:D15)</f>
        <v>0</v>
      </c>
      <c r="D15" s="111"/>
      <c r="E15" s="80"/>
    </row>
    <row r="16" spans="1:5" s="14" customFormat="1" ht="30">
      <c r="A16" s="13"/>
      <c r="B16" s="101" t="s">
        <v>208</v>
      </c>
      <c r="C16" s="145">
        <f t="shared" si="0"/>
        <v>63</v>
      </c>
      <c r="D16" s="146">
        <f>Sheet2!BH30</f>
        <v>63</v>
      </c>
      <c r="E16" s="81"/>
    </row>
    <row r="17" spans="1:5" s="14" customFormat="1" ht="30">
      <c r="A17" s="13"/>
      <c r="B17" s="101" t="s">
        <v>207</v>
      </c>
      <c r="C17" s="145">
        <f t="shared" si="0"/>
        <v>254</v>
      </c>
      <c r="D17" s="146">
        <f>Sheet2!BI30</f>
        <v>254</v>
      </c>
      <c r="E17" s="81"/>
    </row>
    <row r="18" spans="1:5" s="14" customFormat="1" ht="30">
      <c r="A18" s="13"/>
      <c r="B18" s="101" t="s">
        <v>209</v>
      </c>
      <c r="C18" s="145">
        <f t="shared" si="0"/>
        <v>2813</v>
      </c>
      <c r="D18" s="146">
        <f>Sheet2!BJ30</f>
        <v>2813</v>
      </c>
      <c r="E18" s="81"/>
    </row>
    <row r="19" spans="1:5" s="14" customFormat="1" ht="30">
      <c r="A19" s="13"/>
      <c r="B19" s="101" t="s">
        <v>210</v>
      </c>
      <c r="C19" s="145">
        <f t="shared" si="0"/>
        <v>11</v>
      </c>
      <c r="D19" s="146">
        <f>Sheet2!BK30</f>
        <v>11</v>
      </c>
      <c r="E19" s="81"/>
    </row>
    <row r="20" spans="1:5" s="14" customFormat="1" ht="30">
      <c r="A20" s="13"/>
      <c r="B20" s="101" t="s">
        <v>211</v>
      </c>
      <c r="C20" s="145">
        <f t="shared" si="0"/>
        <v>12</v>
      </c>
      <c r="D20" s="146">
        <f>Sheet2!BL30</f>
        <v>12</v>
      </c>
      <c r="E20" s="81"/>
    </row>
    <row r="21" spans="1:5" s="14" customFormat="1" ht="16.5">
      <c r="A21" s="13"/>
      <c r="B21" s="101"/>
      <c r="C21" s="17">
        <f t="shared" si="0"/>
        <v>0</v>
      </c>
      <c r="D21" s="81"/>
      <c r="E21" s="81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A1:E1"/>
    <mergeCell ref="A2:E2"/>
    <mergeCell ref="A5:E5"/>
    <mergeCell ref="A7:A8"/>
    <mergeCell ref="B7:B8"/>
    <mergeCell ref="C7:C8"/>
    <mergeCell ref="D7:D8"/>
    <mergeCell ref="A3:B3"/>
    <mergeCell ref="A4:B4"/>
    <mergeCell ref="E7:E8"/>
  </mergeCells>
  <printOptions/>
  <pageMargins left="0.7" right="0.4" top="0.75" bottom="0.75" header="0.3" footer="0.3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8">
      <selection activeCell="D21" sqref="D21"/>
    </sheetView>
  </sheetViews>
  <sheetFormatPr defaultColWidth="9.00390625" defaultRowHeight="15.75"/>
  <cols>
    <col min="1" max="1" width="5.125" style="15" customWidth="1"/>
    <col min="2" max="2" width="36.625" style="15" customWidth="1"/>
    <col min="3" max="3" width="10.625" style="15" customWidth="1"/>
    <col min="4" max="4" width="11.75390625" style="15" customWidth="1"/>
    <col min="5" max="5" width="24.87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48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bổ'!V42</f>
        <v>1082048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bổ'!V43</f>
        <v>2762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6519</v>
      </c>
      <c r="D10" s="12">
        <f>D11+D14</f>
        <v>6519</v>
      </c>
      <c r="E10" s="13"/>
    </row>
    <row r="11" spans="1:5" s="3" customFormat="1" ht="24.75" customHeight="1">
      <c r="A11" s="16">
        <v>1</v>
      </c>
      <c r="B11" s="13" t="s">
        <v>27</v>
      </c>
      <c r="C11" s="17">
        <f>D11</f>
        <v>4139</v>
      </c>
      <c r="D11" s="17">
        <f>Sheet2!DZ31</f>
        <v>4139</v>
      </c>
      <c r="E11" s="18"/>
    </row>
    <row r="12" spans="1:5" s="3" customFormat="1" ht="30.75" customHeight="1">
      <c r="A12" s="77"/>
      <c r="B12" s="102" t="s">
        <v>248</v>
      </c>
      <c r="C12" s="147">
        <f>D12</f>
        <v>90</v>
      </c>
      <c r="D12" s="147">
        <f>Sheet2!AX31</f>
        <v>90</v>
      </c>
      <c r="E12" s="79"/>
    </row>
    <row r="13" spans="1:5" s="3" customFormat="1" ht="30.75" customHeight="1">
      <c r="A13" s="77"/>
      <c r="B13" s="102" t="s">
        <v>417</v>
      </c>
      <c r="C13" s="126">
        <f>D13</f>
        <v>10</v>
      </c>
      <c r="D13" s="147">
        <f>Sheet2!AY31</f>
        <v>10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2380</v>
      </c>
      <c r="D14" s="17">
        <f>Sheet2!EA31</f>
        <v>2380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2">SUM(D15:D15)</f>
        <v>0</v>
      </c>
      <c r="D15" s="17"/>
      <c r="E15" s="80"/>
    </row>
    <row r="16" spans="1:5" s="14" customFormat="1" ht="30">
      <c r="A16" s="13"/>
      <c r="B16" s="101" t="s">
        <v>208</v>
      </c>
      <c r="C16" s="145">
        <f t="shared" si="0"/>
        <v>52</v>
      </c>
      <c r="D16" s="145">
        <f>Sheet2!BH31</f>
        <v>52</v>
      </c>
      <c r="E16" s="81"/>
    </row>
    <row r="17" spans="1:5" s="14" customFormat="1" ht="30">
      <c r="A17" s="13"/>
      <c r="B17" s="101" t="s">
        <v>207</v>
      </c>
      <c r="C17" s="145">
        <f t="shared" si="0"/>
        <v>254</v>
      </c>
      <c r="D17" s="145">
        <f>Sheet2!BI31</f>
        <v>254</v>
      </c>
      <c r="E17" s="81"/>
    </row>
    <row r="18" spans="1:5" s="14" customFormat="1" ht="30">
      <c r="A18" s="13"/>
      <c r="B18" s="101" t="s">
        <v>209</v>
      </c>
      <c r="C18" s="145">
        <f t="shared" si="0"/>
        <v>2074</v>
      </c>
      <c r="D18" s="145">
        <f>Sheet2!BJ31</f>
        <v>2074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25">
        <f>Sheet2!BK31</f>
        <v>0</v>
      </c>
      <c r="E19" s="81"/>
    </row>
    <row r="20" spans="1:5" s="14" customFormat="1" ht="30">
      <c r="A20" s="13"/>
      <c r="B20" s="101" t="s">
        <v>211</v>
      </c>
      <c r="C20" s="145">
        <f t="shared" si="0"/>
        <v>0</v>
      </c>
      <c r="D20" s="125">
        <f>Sheet2!BL31</f>
        <v>0</v>
      </c>
      <c r="E20" s="81"/>
    </row>
    <row r="21" spans="1:5" s="14" customFormat="1" ht="16.5">
      <c r="A21" s="13"/>
      <c r="B21" s="101"/>
      <c r="C21" s="17">
        <f t="shared" si="0"/>
        <v>0</v>
      </c>
      <c r="D21" s="81"/>
      <c r="E21" s="81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E7:E8"/>
    <mergeCell ref="A3:B3"/>
    <mergeCell ref="A4:B4"/>
    <mergeCell ref="A1:E1"/>
    <mergeCell ref="A2:E2"/>
    <mergeCell ref="A5:E5"/>
    <mergeCell ref="A7:A8"/>
    <mergeCell ref="B7:B8"/>
    <mergeCell ref="C7:C8"/>
    <mergeCell ref="D7:D8"/>
  </mergeCells>
  <printOptions/>
  <pageMargins left="0.61" right="0.54" top="0.75" bottom="0.75" header="0.3" footer="0.3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8">
      <selection activeCell="D21" sqref="D21"/>
    </sheetView>
  </sheetViews>
  <sheetFormatPr defaultColWidth="9.00390625" defaultRowHeight="15.75"/>
  <cols>
    <col min="1" max="1" width="5.125" style="15" customWidth="1"/>
    <col min="2" max="2" width="36.375" style="15" customWidth="1"/>
    <col min="3" max="3" width="10.625" style="15" customWidth="1"/>
    <col min="4" max="4" width="11.75390625" style="15" customWidth="1"/>
    <col min="5" max="5" width="24.87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47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bổ'!W42</f>
        <v>1098183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bổ'!W43</f>
        <v>2761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6709</v>
      </c>
      <c r="D10" s="12">
        <f>D11+D14</f>
        <v>6709</v>
      </c>
      <c r="E10" s="13"/>
    </row>
    <row r="11" spans="1:5" s="3" customFormat="1" ht="24.75" customHeight="1">
      <c r="A11" s="16">
        <v>1</v>
      </c>
      <c r="B11" s="13" t="s">
        <v>27</v>
      </c>
      <c r="C11" s="17">
        <f>D11</f>
        <v>5370</v>
      </c>
      <c r="D11" s="17">
        <f>Sheet2!DZ32</f>
        <v>5370</v>
      </c>
      <c r="E11" s="18"/>
    </row>
    <row r="12" spans="1:5" s="3" customFormat="1" ht="30" customHeight="1">
      <c r="A12" s="77"/>
      <c r="B12" s="102" t="s">
        <v>248</v>
      </c>
      <c r="C12" s="147">
        <f>D12</f>
        <v>90</v>
      </c>
      <c r="D12" s="147">
        <f>Sheet2!AX32</f>
        <v>90</v>
      </c>
      <c r="E12" s="79"/>
    </row>
    <row r="13" spans="1:5" s="3" customFormat="1" ht="30" customHeight="1">
      <c r="A13" s="77"/>
      <c r="B13" s="102" t="s">
        <v>417</v>
      </c>
      <c r="C13" s="126">
        <f>D13</f>
        <v>10</v>
      </c>
      <c r="D13" s="147">
        <f>Sheet2!AY32</f>
        <v>10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1339</v>
      </c>
      <c r="D14" s="111">
        <f>Sheet2!EA32</f>
        <v>1339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2">SUM(D15:D15)</f>
        <v>0</v>
      </c>
      <c r="D15" s="111"/>
      <c r="E15" s="80"/>
    </row>
    <row r="16" spans="1:5" s="14" customFormat="1" ht="30">
      <c r="A16" s="13"/>
      <c r="B16" s="101" t="s">
        <v>208</v>
      </c>
      <c r="C16" s="145">
        <f t="shared" si="0"/>
        <v>41</v>
      </c>
      <c r="D16" s="146">
        <f>Sheet2!BH32</f>
        <v>41</v>
      </c>
      <c r="E16" s="81"/>
    </row>
    <row r="17" spans="1:5" s="14" customFormat="1" ht="30">
      <c r="A17" s="13"/>
      <c r="B17" s="101" t="s">
        <v>207</v>
      </c>
      <c r="C17" s="145">
        <f t="shared" si="0"/>
        <v>77</v>
      </c>
      <c r="D17" s="146">
        <f>Sheet2!BI32</f>
        <v>77</v>
      </c>
      <c r="E17" s="81"/>
    </row>
    <row r="18" spans="1:5" s="14" customFormat="1" ht="30">
      <c r="A18" s="13"/>
      <c r="B18" s="101" t="s">
        <v>209</v>
      </c>
      <c r="C18" s="145">
        <f t="shared" si="0"/>
        <v>1209</v>
      </c>
      <c r="D18" s="146">
        <f>Sheet2!BJ32</f>
        <v>1209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46">
        <f>Sheet2!BK32</f>
        <v>0</v>
      </c>
      <c r="E19" s="81"/>
    </row>
    <row r="20" spans="1:5" s="14" customFormat="1" ht="30">
      <c r="A20" s="13"/>
      <c r="B20" s="101" t="s">
        <v>211</v>
      </c>
      <c r="C20" s="145">
        <f t="shared" si="0"/>
        <v>12</v>
      </c>
      <c r="D20" s="146">
        <f>Sheet2!BL32</f>
        <v>12</v>
      </c>
      <c r="E20" s="81"/>
    </row>
    <row r="21" spans="1:5" s="14" customFormat="1" ht="16.5">
      <c r="A21" s="13"/>
      <c r="B21" s="101" t="s">
        <v>238</v>
      </c>
      <c r="C21" s="146">
        <f t="shared" si="0"/>
        <v>0</v>
      </c>
      <c r="D21" s="146"/>
      <c r="E21" s="125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E7:E8"/>
    <mergeCell ref="A3:B3"/>
    <mergeCell ref="A4:B4"/>
    <mergeCell ref="A1:E1"/>
    <mergeCell ref="A2:E2"/>
    <mergeCell ref="A5:E5"/>
    <mergeCell ref="A7:A8"/>
    <mergeCell ref="B7:B8"/>
    <mergeCell ref="C7:C8"/>
    <mergeCell ref="D7:D8"/>
  </mergeCells>
  <printOptions/>
  <pageMargins left="0.7" right="0.48" top="0.75" bottom="0.75" header="0.3" footer="0.3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1">
      <selection activeCell="D20" sqref="D20"/>
    </sheetView>
  </sheetViews>
  <sheetFormatPr defaultColWidth="9.00390625" defaultRowHeight="15.75"/>
  <cols>
    <col min="1" max="1" width="5.125" style="15" customWidth="1"/>
    <col min="2" max="2" width="35.50390625" style="15" customWidth="1"/>
    <col min="3" max="3" width="9.25390625" style="15" customWidth="1"/>
    <col min="4" max="4" width="9.875" style="15" customWidth="1"/>
    <col min="5" max="5" width="28.253906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185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4" t="str">
        <f>'Phân bổ'!Z42</f>
        <v>1123865</v>
      </c>
      <c r="D3" s="72"/>
      <c r="E3" s="72"/>
    </row>
    <row r="4" spans="1:5" s="4" customFormat="1" ht="15" customHeight="1">
      <c r="A4" s="410" t="s">
        <v>184</v>
      </c>
      <c r="B4" s="410"/>
      <c r="C4" s="74" t="str">
        <f>'Phân bổ'!Z43</f>
        <v>2761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6227</v>
      </c>
      <c r="D10" s="12">
        <f>D11+D14</f>
        <v>6227</v>
      </c>
      <c r="E10" s="13"/>
    </row>
    <row r="11" spans="1:5" s="3" customFormat="1" ht="21" customHeight="1">
      <c r="A11" s="16">
        <v>1</v>
      </c>
      <c r="B11" s="13" t="s">
        <v>27</v>
      </c>
      <c r="C11" s="17">
        <f>D11</f>
        <v>6200</v>
      </c>
      <c r="D11" s="17">
        <f>Sheet2!DZ33</f>
        <v>6200</v>
      </c>
      <c r="E11" s="173"/>
    </row>
    <row r="12" spans="1:5" s="3" customFormat="1" ht="31.5" customHeight="1">
      <c r="A12" s="77"/>
      <c r="B12" s="102" t="s">
        <v>248</v>
      </c>
      <c r="C12" s="147">
        <f>D12</f>
        <v>114</v>
      </c>
      <c r="D12" s="147">
        <f>Sheet2!AX33</f>
        <v>114</v>
      </c>
      <c r="E12" s="79"/>
    </row>
    <row r="13" spans="1:5" s="3" customFormat="1" ht="31.5" customHeight="1">
      <c r="A13" s="77"/>
      <c r="B13" s="102" t="s">
        <v>417</v>
      </c>
      <c r="C13" s="126">
        <f>D13</f>
        <v>13</v>
      </c>
      <c r="D13" s="147">
        <f>Sheet2!AY33</f>
        <v>13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27</v>
      </c>
      <c r="D14" s="17">
        <f>Sheet2!EA33</f>
        <v>27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2">SUM(D15:D15)</f>
        <v>0</v>
      </c>
      <c r="D15" s="17"/>
      <c r="E15" s="80"/>
    </row>
    <row r="16" spans="1:5" s="14" customFormat="1" ht="30">
      <c r="A16" s="13"/>
      <c r="B16" s="101" t="s">
        <v>208</v>
      </c>
      <c r="C16" s="145">
        <f t="shared" si="0"/>
        <v>10</v>
      </c>
      <c r="D16" s="146">
        <f>Sheet2!BH33</f>
        <v>10</v>
      </c>
      <c r="E16" s="81"/>
    </row>
    <row r="17" spans="1:5" s="14" customFormat="1" ht="30">
      <c r="A17" s="13"/>
      <c r="B17" s="101" t="s">
        <v>207</v>
      </c>
      <c r="C17" s="145">
        <f t="shared" si="0"/>
        <v>0</v>
      </c>
      <c r="D17" s="146">
        <f>Sheet2!BI33</f>
        <v>0</v>
      </c>
      <c r="E17" s="81"/>
    </row>
    <row r="18" spans="1:5" s="14" customFormat="1" ht="30">
      <c r="A18" s="13"/>
      <c r="B18" s="101" t="s">
        <v>209</v>
      </c>
      <c r="C18" s="145">
        <f t="shared" si="0"/>
        <v>10</v>
      </c>
      <c r="D18" s="150">
        <f>Sheet2!BJ33</f>
        <v>10</v>
      </c>
      <c r="E18" s="81"/>
    </row>
    <row r="19" spans="1:5" s="14" customFormat="1" ht="30">
      <c r="A19" s="13"/>
      <c r="B19" s="101" t="s">
        <v>210</v>
      </c>
      <c r="C19" s="145">
        <f t="shared" si="0"/>
        <v>7</v>
      </c>
      <c r="D19" s="196">
        <f>Sheet2!BK33</f>
        <v>7</v>
      </c>
      <c r="E19" s="81"/>
    </row>
    <row r="20" spans="1:5" s="14" customFormat="1" ht="30">
      <c r="A20" s="13"/>
      <c r="B20" s="101" t="s">
        <v>211</v>
      </c>
      <c r="C20" s="145">
        <f t="shared" si="0"/>
        <v>0</v>
      </c>
      <c r="D20" s="151">
        <f>Sheet2!BL33</f>
        <v>0</v>
      </c>
      <c r="E20" s="81"/>
    </row>
    <row r="21" spans="1:5" s="14" customFormat="1" ht="16.5">
      <c r="A21" s="13"/>
      <c r="B21" s="101"/>
      <c r="C21" s="17">
        <f t="shared" si="0"/>
        <v>0</v>
      </c>
      <c r="D21" s="81"/>
      <c r="E21" s="81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A1:E1"/>
    <mergeCell ref="A2:E2"/>
    <mergeCell ref="A3:B3"/>
    <mergeCell ref="A4:B4"/>
    <mergeCell ref="A5:E5"/>
    <mergeCell ref="A7:A8"/>
    <mergeCell ref="B7:B8"/>
    <mergeCell ref="C7:C8"/>
    <mergeCell ref="D7:D8"/>
    <mergeCell ref="E7:E8"/>
  </mergeCells>
  <printOptions/>
  <pageMargins left="0.47" right="0.34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1">
      <selection activeCell="D21" sqref="D21"/>
    </sheetView>
  </sheetViews>
  <sheetFormatPr defaultColWidth="9.00390625" defaultRowHeight="15.75"/>
  <cols>
    <col min="1" max="1" width="5.125" style="15" customWidth="1"/>
    <col min="2" max="2" width="37.125" style="15" customWidth="1"/>
    <col min="3" max="3" width="10.625" style="15" customWidth="1"/>
    <col min="4" max="4" width="11.75390625" style="15" customWidth="1"/>
    <col min="5" max="5" width="24.003906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49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bổ'!Y42</f>
        <v>1123866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bổ'!Y43</f>
        <v>2771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8224</v>
      </c>
      <c r="D10" s="12">
        <f>D11+D14</f>
        <v>8224</v>
      </c>
      <c r="E10" s="13"/>
    </row>
    <row r="11" spans="1:5" s="3" customFormat="1" ht="24.75" customHeight="1">
      <c r="A11" s="16">
        <v>1</v>
      </c>
      <c r="B11" s="13" t="s">
        <v>27</v>
      </c>
      <c r="C11" s="17">
        <f>D11</f>
        <v>5260</v>
      </c>
      <c r="D11" s="17">
        <f>Sheet2!DZ34</f>
        <v>5260</v>
      </c>
      <c r="E11" s="202"/>
    </row>
    <row r="12" spans="1:5" s="3" customFormat="1" ht="33" customHeight="1">
      <c r="A12" s="77"/>
      <c r="B12" s="102" t="s">
        <v>248</v>
      </c>
      <c r="C12" s="147">
        <f>D12</f>
        <v>107</v>
      </c>
      <c r="D12" s="147">
        <f>Sheet2!AX34</f>
        <v>107</v>
      </c>
      <c r="E12" s="79"/>
    </row>
    <row r="13" spans="1:5" s="3" customFormat="1" ht="33" customHeight="1">
      <c r="A13" s="77"/>
      <c r="B13" s="102" t="s">
        <v>417</v>
      </c>
      <c r="C13" s="126">
        <f>D13</f>
        <v>12</v>
      </c>
      <c r="D13" s="147">
        <f>Sheet2!AY34</f>
        <v>12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2964</v>
      </c>
      <c r="D14" s="17">
        <f>Sheet2!EA34</f>
        <v>2964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2">SUM(D15:D15)</f>
        <v>0</v>
      </c>
      <c r="D15" s="118"/>
      <c r="E15" s="80"/>
    </row>
    <row r="16" spans="1:5" s="14" customFormat="1" ht="30">
      <c r="A16" s="13"/>
      <c r="B16" s="101" t="s">
        <v>208</v>
      </c>
      <c r="C16" s="145">
        <f t="shared" si="0"/>
        <v>66</v>
      </c>
      <c r="D16" s="149">
        <f>Sheet2!BH34</f>
        <v>66</v>
      </c>
      <c r="E16" s="81"/>
    </row>
    <row r="17" spans="1:5" s="14" customFormat="1" ht="30">
      <c r="A17" s="13"/>
      <c r="B17" s="101" t="s">
        <v>207</v>
      </c>
      <c r="C17" s="145">
        <f t="shared" si="0"/>
        <v>335</v>
      </c>
      <c r="D17" s="149">
        <f>Sheet2!BI34</f>
        <v>335</v>
      </c>
      <c r="E17" s="81"/>
    </row>
    <row r="18" spans="1:5" s="14" customFormat="1" ht="30">
      <c r="A18" s="13"/>
      <c r="B18" s="101" t="s">
        <v>209</v>
      </c>
      <c r="C18" s="145">
        <f t="shared" si="0"/>
        <v>2551</v>
      </c>
      <c r="D18" s="149">
        <f>Sheet2!BJ34</f>
        <v>2551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49">
        <f>Sheet2!BK34</f>
        <v>0</v>
      </c>
      <c r="E19" s="81"/>
    </row>
    <row r="20" spans="1:5" s="14" customFormat="1" ht="30">
      <c r="A20" s="13"/>
      <c r="B20" s="101" t="s">
        <v>211</v>
      </c>
      <c r="C20" s="145">
        <f t="shared" si="0"/>
        <v>12</v>
      </c>
      <c r="D20" s="149">
        <f>Sheet2!BL34</f>
        <v>12</v>
      </c>
      <c r="E20" s="81"/>
    </row>
    <row r="21" spans="1:5" s="14" customFormat="1" ht="16.5">
      <c r="A21" s="13"/>
      <c r="B21" s="101"/>
      <c r="C21" s="146">
        <f t="shared" si="0"/>
        <v>0</v>
      </c>
      <c r="D21" s="146"/>
      <c r="E21" s="125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A3:B3"/>
    <mergeCell ref="A4:B4"/>
    <mergeCell ref="A1:E1"/>
    <mergeCell ref="A2:E2"/>
    <mergeCell ref="A5:E5"/>
    <mergeCell ref="A7:A8"/>
    <mergeCell ref="B7:B8"/>
    <mergeCell ref="C7:C8"/>
    <mergeCell ref="D7:D8"/>
    <mergeCell ref="E7:E8"/>
  </mergeCells>
  <printOptions/>
  <pageMargins left="0.7" right="0.52" top="0.75" bottom="0.75" header="0.3" footer="0.3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8">
      <selection activeCell="D14" sqref="D14"/>
    </sheetView>
  </sheetViews>
  <sheetFormatPr defaultColWidth="9.00390625" defaultRowHeight="15.75"/>
  <cols>
    <col min="1" max="1" width="5.125" style="15" customWidth="1"/>
    <col min="2" max="2" width="35.50390625" style="15" customWidth="1"/>
    <col min="3" max="3" width="10.625" style="15" customWidth="1"/>
    <col min="4" max="4" width="11.75390625" style="15" customWidth="1"/>
    <col min="5" max="5" width="24.87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50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bổ'!AB42</f>
        <v>1127252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bổ'!AB43</f>
        <v>2762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13057</v>
      </c>
      <c r="D10" s="12">
        <f>D11+D14</f>
        <v>13057</v>
      </c>
      <c r="E10" s="13"/>
    </row>
    <row r="11" spans="1:5" s="3" customFormat="1" ht="24.75" customHeight="1">
      <c r="A11" s="16">
        <v>1</v>
      </c>
      <c r="B11" s="13" t="s">
        <v>27</v>
      </c>
      <c r="C11" s="17">
        <f>D11</f>
        <v>11049</v>
      </c>
      <c r="D11" s="17">
        <f>Sheet2!DZ35</f>
        <v>11049</v>
      </c>
      <c r="E11" s="18"/>
    </row>
    <row r="12" spans="1:5" s="3" customFormat="1" ht="30.75" customHeight="1">
      <c r="A12" s="77"/>
      <c r="B12" s="102" t="s">
        <v>248</v>
      </c>
      <c r="C12" s="147">
        <f>D12</f>
        <v>142</v>
      </c>
      <c r="D12" s="147">
        <f>Sheet2!AX35</f>
        <v>142</v>
      </c>
      <c r="E12" s="79"/>
    </row>
    <row r="13" spans="1:5" s="3" customFormat="1" ht="30.75" customHeight="1">
      <c r="A13" s="77"/>
      <c r="B13" s="102" t="s">
        <v>417</v>
      </c>
      <c r="C13" s="126">
        <f>D13</f>
        <v>17</v>
      </c>
      <c r="D13" s="147">
        <f>Sheet2!AY35</f>
        <v>17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2008</v>
      </c>
      <c r="D14" s="111">
        <f>Sheet2!EA35</f>
        <v>2008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2">SUM(D15:D15)</f>
        <v>0</v>
      </c>
      <c r="D15" s="111"/>
      <c r="E15" s="80"/>
    </row>
    <row r="16" spans="1:5" s="14" customFormat="1" ht="30">
      <c r="A16" s="13"/>
      <c r="B16" s="101" t="s">
        <v>208</v>
      </c>
      <c r="C16" s="145">
        <f t="shared" si="0"/>
        <v>97</v>
      </c>
      <c r="D16" s="146">
        <f>Sheet2!BH35</f>
        <v>97</v>
      </c>
      <c r="E16" s="81"/>
    </row>
    <row r="17" spans="1:5" s="14" customFormat="1" ht="30">
      <c r="A17" s="13"/>
      <c r="B17" s="101" t="s">
        <v>207</v>
      </c>
      <c r="C17" s="145">
        <f t="shared" si="0"/>
        <v>359</v>
      </c>
      <c r="D17" s="146">
        <f>Sheet2!BI35</f>
        <v>359</v>
      </c>
      <c r="E17" s="81"/>
    </row>
    <row r="18" spans="1:5" s="14" customFormat="1" ht="30">
      <c r="A18" s="13"/>
      <c r="B18" s="101" t="s">
        <v>209</v>
      </c>
      <c r="C18" s="145">
        <f t="shared" si="0"/>
        <v>1271</v>
      </c>
      <c r="D18" s="146">
        <f>Sheet2!BJ35</f>
        <v>1271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46">
        <f>Sheet2!BK35</f>
        <v>0</v>
      </c>
      <c r="E19" s="81"/>
    </row>
    <row r="20" spans="1:5" s="14" customFormat="1" ht="30">
      <c r="A20" s="13"/>
      <c r="B20" s="101" t="s">
        <v>211</v>
      </c>
      <c r="C20" s="145">
        <f t="shared" si="0"/>
        <v>281</v>
      </c>
      <c r="D20" s="146">
        <f>Sheet2!BL35</f>
        <v>281</v>
      </c>
      <c r="E20" s="81"/>
    </row>
    <row r="21" spans="1:5" s="14" customFormat="1" ht="16.5">
      <c r="A21" s="13"/>
      <c r="B21" s="101"/>
      <c r="C21" s="146">
        <f t="shared" si="0"/>
        <v>0</v>
      </c>
      <c r="D21" s="146"/>
      <c r="E21" s="125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A3:B3"/>
    <mergeCell ref="A4:B4"/>
    <mergeCell ref="A1:E1"/>
    <mergeCell ref="A2:E2"/>
    <mergeCell ref="A5:E5"/>
    <mergeCell ref="A7:A8"/>
    <mergeCell ref="B7:B8"/>
    <mergeCell ref="C7:C8"/>
    <mergeCell ref="D7:D8"/>
    <mergeCell ref="E7:E8"/>
  </mergeCells>
  <printOptions/>
  <pageMargins left="0.7" right="0.52" top="0.75" bottom="0.75" header="0.3" footer="0.3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1">
      <selection activeCell="D20" sqref="D20"/>
    </sheetView>
  </sheetViews>
  <sheetFormatPr defaultColWidth="9.00390625" defaultRowHeight="15.75"/>
  <cols>
    <col min="1" max="1" width="5.125" style="15" customWidth="1"/>
    <col min="2" max="2" width="35.50390625" style="15" customWidth="1"/>
    <col min="3" max="3" width="10.625" style="15" customWidth="1"/>
    <col min="4" max="4" width="11.75390625" style="15" customWidth="1"/>
    <col min="5" max="5" width="24.87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13" t="s">
        <v>247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/>
      <c r="D3" s="72"/>
      <c r="E3" s="72"/>
    </row>
    <row r="4" spans="1:5" s="4" customFormat="1" ht="15" customHeight="1">
      <c r="A4" s="410" t="s">
        <v>184</v>
      </c>
      <c r="B4" s="410"/>
      <c r="C4" s="73"/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8630</v>
      </c>
      <c r="D10" s="12">
        <f>D11+D14</f>
        <v>8630</v>
      </c>
      <c r="E10" s="13"/>
    </row>
    <row r="11" spans="1:5" s="3" customFormat="1" ht="24.75" customHeight="1">
      <c r="A11" s="16">
        <v>1</v>
      </c>
      <c r="B11" s="13" t="s">
        <v>27</v>
      </c>
      <c r="C11" s="17">
        <f>D11</f>
        <v>5541</v>
      </c>
      <c r="D11" s="17">
        <f>Sheet2!DZ36</f>
        <v>5541</v>
      </c>
      <c r="E11" s="18"/>
    </row>
    <row r="12" spans="1:5" s="3" customFormat="1" ht="30.75" customHeight="1">
      <c r="A12" s="77"/>
      <c r="B12" s="102" t="s">
        <v>248</v>
      </c>
      <c r="C12" s="147">
        <f>D12</f>
        <v>105</v>
      </c>
      <c r="D12" s="147">
        <f>Sheet2!AX36</f>
        <v>105</v>
      </c>
      <c r="E12" s="79"/>
    </row>
    <row r="13" spans="1:5" s="3" customFormat="1" ht="30.75" customHeight="1">
      <c r="A13" s="77"/>
      <c r="B13" s="102" t="s">
        <v>417</v>
      </c>
      <c r="C13" s="126">
        <f>D13</f>
        <v>12</v>
      </c>
      <c r="D13" s="147">
        <f>Sheet2!AY36</f>
        <v>12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3089</v>
      </c>
      <c r="D14" s="111">
        <f>Sheet2!EA36</f>
        <v>3089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2">SUM(D15:D15)</f>
        <v>0</v>
      </c>
      <c r="D15" s="111"/>
      <c r="E15" s="80"/>
    </row>
    <row r="16" spans="1:5" s="14" customFormat="1" ht="30">
      <c r="A16" s="13"/>
      <c r="B16" s="101" t="s">
        <v>208</v>
      </c>
      <c r="C16" s="145">
        <f t="shared" si="0"/>
        <v>73</v>
      </c>
      <c r="D16" s="146">
        <f>Sheet2!BH36</f>
        <v>73</v>
      </c>
      <c r="E16" s="81"/>
    </row>
    <row r="17" spans="1:5" s="14" customFormat="1" ht="30">
      <c r="A17" s="13"/>
      <c r="B17" s="101" t="s">
        <v>207</v>
      </c>
      <c r="C17" s="145">
        <f t="shared" si="0"/>
        <v>544</v>
      </c>
      <c r="D17" s="146">
        <f>Sheet2!BI36</f>
        <v>544</v>
      </c>
      <c r="E17" s="81"/>
    </row>
    <row r="18" spans="1:5" s="14" customFormat="1" ht="30">
      <c r="A18" s="13"/>
      <c r="B18" s="101" t="s">
        <v>209</v>
      </c>
      <c r="C18" s="145">
        <f t="shared" si="0"/>
        <v>2437</v>
      </c>
      <c r="D18" s="146">
        <f>Sheet2!BJ36</f>
        <v>2437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46">
        <f>Sheet2!BK36</f>
        <v>0</v>
      </c>
      <c r="E19" s="81"/>
    </row>
    <row r="20" spans="1:5" s="14" customFormat="1" ht="30">
      <c r="A20" s="13"/>
      <c r="B20" s="101" t="s">
        <v>211</v>
      </c>
      <c r="C20" s="145">
        <f t="shared" si="0"/>
        <v>35</v>
      </c>
      <c r="D20" s="146">
        <f>Sheet2!BL36</f>
        <v>35</v>
      </c>
      <c r="E20" s="81"/>
    </row>
    <row r="21" spans="1:5" s="14" customFormat="1" ht="16.5">
      <c r="A21" s="13"/>
      <c r="B21" s="101"/>
      <c r="C21" s="146">
        <f t="shared" si="0"/>
        <v>0</v>
      </c>
      <c r="D21" s="146"/>
      <c r="E21" s="125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A1:E1"/>
    <mergeCell ref="A2:E2"/>
    <mergeCell ref="A3:B3"/>
    <mergeCell ref="A4:B4"/>
    <mergeCell ref="A5:E5"/>
    <mergeCell ref="A7:A8"/>
    <mergeCell ref="B7:B8"/>
    <mergeCell ref="C7:C8"/>
    <mergeCell ref="D7:D8"/>
    <mergeCell ref="E7:E8"/>
  </mergeCells>
  <printOptions/>
  <pageMargins left="0.5" right="0.25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zoomScalePageLayoutView="0" workbookViewId="0" topLeftCell="A11">
      <selection activeCell="D16" sqref="D16:D24"/>
    </sheetView>
  </sheetViews>
  <sheetFormatPr defaultColWidth="9.00390625" defaultRowHeight="15.75"/>
  <cols>
    <col min="1" max="1" width="5.125" style="15" customWidth="1"/>
    <col min="2" max="2" width="35.375" style="15" customWidth="1"/>
    <col min="3" max="3" width="10.625" style="15" customWidth="1"/>
    <col min="4" max="4" width="11.125" style="15" customWidth="1"/>
    <col min="5" max="5" width="32.503906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59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bổ'!AC42</f>
        <v>1031668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bổ'!AC43</f>
        <v>2761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19701</v>
      </c>
      <c r="D10" s="12">
        <f>D11+D14</f>
        <v>19701</v>
      </c>
      <c r="E10" s="13"/>
    </row>
    <row r="11" spans="1:5" s="3" customFormat="1" ht="24.75" customHeight="1">
      <c r="A11" s="16">
        <v>1</v>
      </c>
      <c r="B11" s="13" t="s">
        <v>27</v>
      </c>
      <c r="C11" s="17">
        <f>D11</f>
        <v>11675</v>
      </c>
      <c r="D11" s="17">
        <f>Sheet2!DZ46</f>
        <v>11675</v>
      </c>
      <c r="E11" s="183"/>
    </row>
    <row r="12" spans="1:5" s="3" customFormat="1" ht="30.75" customHeight="1">
      <c r="A12" s="77"/>
      <c r="B12" s="102" t="s">
        <v>248</v>
      </c>
      <c r="C12" s="147">
        <f>D12</f>
        <v>270</v>
      </c>
      <c r="D12" s="147">
        <f>Sheet2!AX46</f>
        <v>270</v>
      </c>
      <c r="E12" s="79"/>
    </row>
    <row r="13" spans="1:5" s="3" customFormat="1" ht="33.75" customHeight="1">
      <c r="A13" s="77"/>
      <c r="B13" s="102" t="s">
        <v>417</v>
      </c>
      <c r="C13" s="126">
        <f>D13</f>
        <v>33</v>
      </c>
      <c r="D13" s="147">
        <f>Sheet2!AY46</f>
        <v>33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8026</v>
      </c>
      <c r="D14" s="17">
        <f>Sheet2!EA46</f>
        <v>8026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0">SUM(D15:D15)</f>
        <v>0</v>
      </c>
      <c r="D15" s="17"/>
      <c r="E15" s="80"/>
    </row>
    <row r="16" spans="1:5" s="14" customFormat="1" ht="30">
      <c r="A16" s="13"/>
      <c r="B16" s="101" t="s">
        <v>208</v>
      </c>
      <c r="C16" s="145">
        <f t="shared" si="0"/>
        <v>83</v>
      </c>
      <c r="D16" s="145">
        <f>Sheet2!BH46</f>
        <v>83</v>
      </c>
      <c r="E16" s="81"/>
    </row>
    <row r="17" spans="1:5" s="14" customFormat="1" ht="30">
      <c r="A17" s="13"/>
      <c r="B17" s="101" t="s">
        <v>207</v>
      </c>
      <c r="C17" s="145">
        <f t="shared" si="0"/>
        <v>0</v>
      </c>
      <c r="D17" s="145">
        <f>Sheet2!BI46</f>
        <v>0</v>
      </c>
      <c r="E17" s="81"/>
    </row>
    <row r="18" spans="1:5" s="14" customFormat="1" ht="30">
      <c r="A18" s="13"/>
      <c r="B18" s="101" t="s">
        <v>209</v>
      </c>
      <c r="C18" s="145">
        <f t="shared" si="0"/>
        <v>0</v>
      </c>
      <c r="D18" s="145">
        <f>Sheet2!BJ46</f>
        <v>0</v>
      </c>
      <c r="E18" s="81"/>
    </row>
    <row r="19" spans="1:5" s="14" customFormat="1" ht="30">
      <c r="A19" s="13"/>
      <c r="B19" s="101" t="s">
        <v>210</v>
      </c>
      <c r="C19" s="145">
        <f t="shared" si="0"/>
        <v>139</v>
      </c>
      <c r="D19" s="145">
        <f>Sheet2!BK46</f>
        <v>139</v>
      </c>
      <c r="E19" s="81"/>
    </row>
    <row r="20" spans="1:5" s="14" customFormat="1" ht="30">
      <c r="A20" s="13"/>
      <c r="B20" s="101" t="s">
        <v>211</v>
      </c>
      <c r="C20" s="145">
        <f t="shared" si="0"/>
        <v>0</v>
      </c>
      <c r="D20" s="125">
        <f>Sheet2!BL46</f>
        <v>0</v>
      </c>
      <c r="E20" s="81"/>
    </row>
    <row r="21" spans="1:5" s="14" customFormat="1" ht="16.5">
      <c r="A21" s="265"/>
      <c r="B21" s="266" t="s">
        <v>413</v>
      </c>
      <c r="C21" s="267">
        <f>SUM(D21:D21)</f>
        <v>7452</v>
      </c>
      <c r="D21" s="331">
        <f>Sheet2!BF46</f>
        <v>7452</v>
      </c>
      <c r="E21" s="269"/>
    </row>
    <row r="22" spans="1:5" s="14" customFormat="1" ht="30">
      <c r="A22" s="271"/>
      <c r="B22" s="266" t="s">
        <v>454</v>
      </c>
      <c r="C22" s="267">
        <f>SUM(D22:D22)</f>
        <v>268</v>
      </c>
      <c r="D22" s="267">
        <f>Sheet2!BT46</f>
        <v>268</v>
      </c>
      <c r="E22" s="269"/>
    </row>
    <row r="23" spans="1:5" s="14" customFormat="1" ht="16.5">
      <c r="A23" s="272"/>
      <c r="B23" s="273" t="s">
        <v>415</v>
      </c>
      <c r="C23" s="274">
        <f>SUM(D23:D23)</f>
        <v>84</v>
      </c>
      <c r="D23" s="274">
        <f>Sheet2!BU46</f>
        <v>84</v>
      </c>
      <c r="E23" s="275"/>
    </row>
    <row r="24" s="14" customFormat="1" ht="12.75"/>
  </sheetData>
  <sheetProtection/>
  <mergeCells count="10">
    <mergeCell ref="E7:E8"/>
    <mergeCell ref="A7:A8"/>
    <mergeCell ref="B7:B8"/>
    <mergeCell ref="C7:C8"/>
    <mergeCell ref="D7:D8"/>
    <mergeCell ref="A1:E1"/>
    <mergeCell ref="A2:E2"/>
    <mergeCell ref="A5:E5"/>
    <mergeCell ref="A3:B3"/>
    <mergeCell ref="A4:B4"/>
  </mergeCells>
  <printOptions/>
  <pageMargins left="0.54" right="0.5" top="0.75" bottom="0.75" header="0.3" footer="0.3"/>
  <pageSetup horizontalDpi="600" verticalDpi="6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zoomScalePageLayoutView="0" workbookViewId="0" topLeftCell="A11">
      <selection activeCell="D21" sqref="D21"/>
    </sheetView>
  </sheetViews>
  <sheetFormatPr defaultColWidth="9.00390625" defaultRowHeight="15.75"/>
  <cols>
    <col min="1" max="1" width="5.125" style="15" customWidth="1"/>
    <col min="2" max="2" width="35.875" style="15" customWidth="1"/>
    <col min="3" max="3" width="10.625" style="15" customWidth="1"/>
    <col min="4" max="4" width="11.75390625" style="15" customWidth="1"/>
    <col min="5" max="5" width="26.6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51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bổ'!AE42</f>
        <v>1098180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bổ'!AE43</f>
        <v>2767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12156</v>
      </c>
      <c r="D10" s="12">
        <f>D11+D14</f>
        <v>12156</v>
      </c>
      <c r="E10" s="13"/>
    </row>
    <row r="11" spans="1:5" s="3" customFormat="1" ht="29.25" customHeight="1">
      <c r="A11" s="16">
        <v>1</v>
      </c>
      <c r="B11" s="13" t="s">
        <v>27</v>
      </c>
      <c r="C11" s="17">
        <f>D11</f>
        <v>7386</v>
      </c>
      <c r="D11" s="17">
        <f>Sheet2!DZ38</f>
        <v>7386</v>
      </c>
      <c r="E11" s="130"/>
    </row>
    <row r="12" spans="1:5" s="3" customFormat="1" ht="35.25" customHeight="1">
      <c r="A12" s="77"/>
      <c r="B12" s="102" t="s">
        <v>248</v>
      </c>
      <c r="C12" s="147">
        <f>D12</f>
        <v>173</v>
      </c>
      <c r="D12" s="147">
        <f>Sheet2!AX38</f>
        <v>173</v>
      </c>
      <c r="E12" s="79"/>
    </row>
    <row r="13" spans="1:5" s="3" customFormat="1" ht="35.25" customHeight="1">
      <c r="A13" s="77"/>
      <c r="B13" s="102" t="s">
        <v>417</v>
      </c>
      <c r="C13" s="126">
        <f>D13</f>
        <v>20</v>
      </c>
      <c r="D13" s="147">
        <f>Sheet2!AY38</f>
        <v>20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4770</v>
      </c>
      <c r="D14" s="17">
        <f>Sheet2!EA38</f>
        <v>4770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3">SUM(D15:D15)</f>
        <v>0</v>
      </c>
      <c r="D15" s="17"/>
      <c r="E15" s="80"/>
    </row>
    <row r="16" spans="1:5" s="14" customFormat="1" ht="30">
      <c r="A16" s="13"/>
      <c r="B16" s="101" t="s">
        <v>208</v>
      </c>
      <c r="C16" s="145">
        <f t="shared" si="0"/>
        <v>50</v>
      </c>
      <c r="D16" s="145">
        <f>Sheet2!BH38</f>
        <v>50</v>
      </c>
      <c r="E16" s="81"/>
    </row>
    <row r="17" spans="1:5" s="14" customFormat="1" ht="30">
      <c r="A17" s="13"/>
      <c r="B17" s="101" t="s">
        <v>207</v>
      </c>
      <c r="C17" s="145">
        <f t="shared" si="0"/>
        <v>0</v>
      </c>
      <c r="D17" s="145">
        <f>Sheet2!BI38</f>
        <v>0</v>
      </c>
      <c r="E17" s="81"/>
    </row>
    <row r="18" spans="1:5" s="14" customFormat="1" ht="30">
      <c r="A18" s="13"/>
      <c r="B18" s="101" t="s">
        <v>209</v>
      </c>
      <c r="C18" s="145">
        <f t="shared" si="0"/>
        <v>0</v>
      </c>
      <c r="D18" s="145">
        <f>Sheet2!BJ38</f>
        <v>0</v>
      </c>
      <c r="E18" s="81"/>
    </row>
    <row r="19" spans="1:5" s="14" customFormat="1" ht="30">
      <c r="A19" s="13"/>
      <c r="B19" s="101" t="s">
        <v>210</v>
      </c>
      <c r="C19" s="145">
        <f t="shared" si="0"/>
        <v>14</v>
      </c>
      <c r="D19" s="145">
        <f>Sheet2!BK38</f>
        <v>14</v>
      </c>
      <c r="E19" s="81"/>
    </row>
    <row r="20" spans="1:5" s="14" customFormat="1" ht="30">
      <c r="A20" s="13"/>
      <c r="B20" s="101" t="s">
        <v>211</v>
      </c>
      <c r="C20" s="145">
        <f t="shared" si="0"/>
        <v>0</v>
      </c>
      <c r="D20" s="125">
        <f>Sheet2!BL38</f>
        <v>0</v>
      </c>
      <c r="E20" s="81"/>
    </row>
    <row r="21" spans="1:5" s="14" customFormat="1" ht="16.5">
      <c r="A21" s="13"/>
      <c r="B21" s="101" t="s">
        <v>413</v>
      </c>
      <c r="C21" s="145">
        <f t="shared" si="0"/>
        <v>4500</v>
      </c>
      <c r="D21" s="145">
        <f>Sheet2!BF38</f>
        <v>4500</v>
      </c>
      <c r="E21" s="81"/>
    </row>
    <row r="22" spans="1:5" s="14" customFormat="1" ht="30">
      <c r="A22" s="264"/>
      <c r="B22" s="101" t="s">
        <v>454</v>
      </c>
      <c r="C22" s="145">
        <f t="shared" si="0"/>
        <v>154</v>
      </c>
      <c r="D22" s="145">
        <f>Sheet2!BT38</f>
        <v>154</v>
      </c>
      <c r="E22" s="81"/>
    </row>
    <row r="23" spans="1:5" s="14" customFormat="1" ht="16.5">
      <c r="A23" s="113"/>
      <c r="B23" s="109" t="s">
        <v>415</v>
      </c>
      <c r="C23" s="152">
        <f t="shared" si="0"/>
        <v>52</v>
      </c>
      <c r="D23" s="152">
        <f>Sheet2!BU38</f>
        <v>52</v>
      </c>
      <c r="E23" s="83"/>
    </row>
  </sheetData>
  <sheetProtection/>
  <mergeCells count="10">
    <mergeCell ref="A3:B3"/>
    <mergeCell ref="A4:B4"/>
    <mergeCell ref="A1:E1"/>
    <mergeCell ref="A2:E2"/>
    <mergeCell ref="A5:E5"/>
    <mergeCell ref="A7:A8"/>
    <mergeCell ref="B7:B8"/>
    <mergeCell ref="C7:C8"/>
    <mergeCell ref="D7:D8"/>
    <mergeCell ref="E7:E8"/>
  </mergeCells>
  <printOptions/>
  <pageMargins left="0.52" right="0.55" top="0.75" bottom="0.75" header="0.3" footer="0.3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zoomScalePageLayoutView="0" workbookViewId="0" topLeftCell="A11">
      <selection activeCell="C21" sqref="C21:D21"/>
    </sheetView>
  </sheetViews>
  <sheetFormatPr defaultColWidth="9.00390625" defaultRowHeight="15.75"/>
  <cols>
    <col min="1" max="1" width="5.125" style="15" customWidth="1"/>
    <col min="2" max="2" width="36.375" style="15" customWidth="1"/>
    <col min="3" max="3" width="10.625" style="15" customWidth="1"/>
    <col min="4" max="4" width="10.875" style="15" customWidth="1"/>
    <col min="5" max="5" width="24.87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52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bổ'!AG42</f>
        <v>1098179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bổ'!AG43</f>
        <v>2766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10436</v>
      </c>
      <c r="D10" s="12">
        <f>D11+D14</f>
        <v>10436</v>
      </c>
      <c r="E10" s="13"/>
    </row>
    <row r="11" spans="1:5" s="3" customFormat="1" ht="24.75" customHeight="1">
      <c r="A11" s="16">
        <v>1</v>
      </c>
      <c r="B11" s="13" t="s">
        <v>27</v>
      </c>
      <c r="C11" s="17">
        <f>D11</f>
        <v>5682</v>
      </c>
      <c r="D11" s="17">
        <f>Sheet2!DZ39</f>
        <v>5682</v>
      </c>
      <c r="E11" s="18"/>
    </row>
    <row r="12" spans="1:5" s="3" customFormat="1" ht="29.25" customHeight="1">
      <c r="A12" s="77"/>
      <c r="B12" s="102" t="s">
        <v>248</v>
      </c>
      <c r="C12" s="147">
        <f>D12</f>
        <v>168</v>
      </c>
      <c r="D12" s="147">
        <f>Sheet2!AX39</f>
        <v>168</v>
      </c>
      <c r="E12" s="79"/>
    </row>
    <row r="13" spans="1:5" s="3" customFormat="1" ht="29.25" customHeight="1">
      <c r="A13" s="77"/>
      <c r="B13" s="102" t="s">
        <v>417</v>
      </c>
      <c r="C13" s="126">
        <f>D13</f>
        <v>20</v>
      </c>
      <c r="D13" s="147">
        <f>Sheet2!AY39</f>
        <v>20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4754</v>
      </c>
      <c r="D14" s="17">
        <f>Sheet2!EA39</f>
        <v>4754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3">SUM(D15:D15)</f>
        <v>0</v>
      </c>
      <c r="D15" s="17"/>
      <c r="E15" s="80"/>
    </row>
    <row r="16" spans="1:5" s="14" customFormat="1" ht="30">
      <c r="A16" s="13"/>
      <c r="B16" s="101" t="s">
        <v>208</v>
      </c>
      <c r="C16" s="145">
        <f t="shared" si="0"/>
        <v>48</v>
      </c>
      <c r="D16" s="145">
        <f>Sheet2!BH39</f>
        <v>48</v>
      </c>
      <c r="E16" s="81"/>
    </row>
    <row r="17" spans="1:5" s="14" customFormat="1" ht="30">
      <c r="A17" s="13"/>
      <c r="B17" s="101" t="s">
        <v>207</v>
      </c>
      <c r="C17" s="145">
        <f t="shared" si="0"/>
        <v>0</v>
      </c>
      <c r="D17" s="125">
        <f>Sheet2!BI39</f>
        <v>0</v>
      </c>
      <c r="E17" s="81"/>
    </row>
    <row r="18" spans="1:5" s="14" customFormat="1" ht="30">
      <c r="A18" s="13"/>
      <c r="B18" s="101" t="s">
        <v>209</v>
      </c>
      <c r="C18" s="145">
        <f t="shared" si="0"/>
        <v>0</v>
      </c>
      <c r="D18" s="125">
        <f>Sheet2!BJ39</f>
        <v>0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25">
        <f>Sheet2!BK39</f>
        <v>0</v>
      </c>
      <c r="E19" s="81"/>
    </row>
    <row r="20" spans="1:5" s="14" customFormat="1" ht="30">
      <c r="A20" s="13"/>
      <c r="B20" s="101" t="s">
        <v>211</v>
      </c>
      <c r="C20" s="145">
        <f t="shared" si="0"/>
        <v>0</v>
      </c>
      <c r="D20" s="125">
        <f>Sheet2!BL39</f>
        <v>0</v>
      </c>
      <c r="E20" s="81"/>
    </row>
    <row r="21" spans="1:5" s="270" customFormat="1" ht="16.5">
      <c r="A21" s="265"/>
      <c r="B21" s="266" t="s">
        <v>413</v>
      </c>
      <c r="C21" s="267">
        <f t="shared" si="0"/>
        <v>4500</v>
      </c>
      <c r="D21" s="267">
        <f>Sheet2!BF39</f>
        <v>4500</v>
      </c>
      <c r="E21" s="269"/>
    </row>
    <row r="22" spans="1:5" s="270" customFormat="1" ht="30">
      <c r="A22" s="271"/>
      <c r="B22" s="266" t="s">
        <v>454</v>
      </c>
      <c r="C22" s="267">
        <f t="shared" si="0"/>
        <v>154</v>
      </c>
      <c r="D22" s="267">
        <f>Sheet2!BT39</f>
        <v>154</v>
      </c>
      <c r="E22" s="269"/>
    </row>
    <row r="23" spans="1:5" s="270" customFormat="1" ht="16.5">
      <c r="A23" s="272"/>
      <c r="B23" s="273" t="s">
        <v>415</v>
      </c>
      <c r="C23" s="274">
        <f t="shared" si="0"/>
        <v>52</v>
      </c>
      <c r="D23" s="274">
        <f>Sheet2!BU39</f>
        <v>52</v>
      </c>
      <c r="E23" s="275"/>
    </row>
  </sheetData>
  <sheetProtection/>
  <mergeCells count="10">
    <mergeCell ref="A3:B3"/>
    <mergeCell ref="A4:B4"/>
    <mergeCell ref="A1:E1"/>
    <mergeCell ref="A2:E2"/>
    <mergeCell ref="A5:E5"/>
    <mergeCell ref="A7:A8"/>
    <mergeCell ref="B7:B8"/>
    <mergeCell ref="C7:C8"/>
    <mergeCell ref="D7:D8"/>
    <mergeCell ref="E7:E8"/>
  </mergeCells>
  <printOptions/>
  <pageMargins left="0.59" right="0.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1">
      <selection activeCell="E10" sqref="E10"/>
    </sheetView>
  </sheetViews>
  <sheetFormatPr defaultColWidth="9.00390625" defaultRowHeight="15.75"/>
  <cols>
    <col min="1" max="1" width="5.125" style="15" customWidth="1"/>
    <col min="2" max="2" width="36.375" style="15" customWidth="1"/>
    <col min="3" max="3" width="10.625" style="15" customWidth="1"/>
    <col min="4" max="4" width="11.75390625" style="15" customWidth="1"/>
    <col min="5" max="5" width="25.75390625" style="15" customWidth="1"/>
    <col min="6" max="16384" width="9.00390625" style="15" customWidth="1"/>
  </cols>
  <sheetData>
    <row r="1" spans="1:5" s="3" customFormat="1" ht="23.25" customHeight="1">
      <c r="A1" s="406" t="s">
        <v>478</v>
      </c>
      <c r="B1" s="406"/>
      <c r="C1" s="406"/>
      <c r="D1" s="406"/>
      <c r="E1" s="406"/>
    </row>
    <row r="2" spans="1:5" s="4" customFormat="1" ht="18" customHeight="1">
      <c r="A2" s="407" t="s">
        <v>30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bổ'!D42</f>
        <v>1031712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bổ'!D43</f>
        <v>2769</v>
      </c>
      <c r="D4" s="72"/>
      <c r="E4" s="72"/>
    </row>
    <row r="5" spans="1:5" s="3" customFormat="1" ht="16.5">
      <c r="A5" s="408" t="s">
        <v>480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114"/>
      <c r="D9" s="114"/>
      <c r="E9" s="10"/>
    </row>
    <row r="10" spans="1:5" s="11" customFormat="1" ht="18" customHeight="1">
      <c r="A10" s="87" t="s">
        <v>20</v>
      </c>
      <c r="B10" s="88" t="s">
        <v>236</v>
      </c>
      <c r="C10" s="110">
        <f>D10</f>
        <v>7666</v>
      </c>
      <c r="D10" s="110">
        <f>D11+D14</f>
        <v>7666</v>
      </c>
      <c r="E10" s="13"/>
    </row>
    <row r="11" spans="1:5" s="3" customFormat="1" ht="24.75" customHeight="1">
      <c r="A11" s="16">
        <v>1</v>
      </c>
      <c r="B11" s="13" t="s">
        <v>27</v>
      </c>
      <c r="C11" s="111">
        <f>D11</f>
        <v>5867</v>
      </c>
      <c r="D11" s="111">
        <f>Sheet2!DZ13</f>
        <v>5867</v>
      </c>
      <c r="E11" s="18"/>
    </row>
    <row r="12" spans="1:5" s="3" customFormat="1" ht="32.25" customHeight="1">
      <c r="A12" s="77"/>
      <c r="B12" s="102" t="s">
        <v>248</v>
      </c>
      <c r="C12" s="126">
        <f>D12</f>
        <v>127</v>
      </c>
      <c r="D12" s="126">
        <f>Sheet2!AX13</f>
        <v>127</v>
      </c>
      <c r="E12" s="79"/>
    </row>
    <row r="13" spans="1:5" s="3" customFormat="1" ht="32.25" customHeight="1">
      <c r="A13" s="77"/>
      <c r="B13" s="102" t="s">
        <v>417</v>
      </c>
      <c r="C13" s="126">
        <f>D13</f>
        <v>15</v>
      </c>
      <c r="D13" s="126">
        <f>Sheet2!AY13</f>
        <v>15</v>
      </c>
      <c r="E13" s="79"/>
    </row>
    <row r="14" spans="1:5" s="3" customFormat="1" ht="26.25" customHeight="1">
      <c r="A14" s="16">
        <v>2</v>
      </c>
      <c r="B14" s="13" t="s">
        <v>28</v>
      </c>
      <c r="C14" s="111">
        <f>SUM(D14:D14)</f>
        <v>1799</v>
      </c>
      <c r="D14" s="111">
        <f>Sheet2!BD13</f>
        <v>1799</v>
      </c>
      <c r="E14" s="80"/>
    </row>
    <row r="15" spans="1:5" s="3" customFormat="1" ht="26.25" customHeight="1">
      <c r="A15" s="16"/>
      <c r="B15" s="108" t="s">
        <v>214</v>
      </c>
      <c r="C15" s="111">
        <f aca="true" t="shared" si="0" ref="C15:C22">SUM(D15:D15)</f>
        <v>0</v>
      </c>
      <c r="D15" s="111"/>
      <c r="E15" s="80"/>
    </row>
    <row r="16" spans="1:5" s="14" customFormat="1" ht="30">
      <c r="A16" s="13"/>
      <c r="B16" s="101" t="s">
        <v>208</v>
      </c>
      <c r="C16" s="146">
        <f t="shared" si="0"/>
        <v>52</v>
      </c>
      <c r="D16" s="146">
        <f>Sheet2!BH13</f>
        <v>52</v>
      </c>
      <c r="E16" s="81"/>
    </row>
    <row r="17" spans="1:5" s="14" customFormat="1" ht="30">
      <c r="A17" s="13"/>
      <c r="B17" s="101" t="s">
        <v>207</v>
      </c>
      <c r="C17" s="146">
        <f t="shared" si="0"/>
        <v>206</v>
      </c>
      <c r="D17" s="146">
        <f>Sheet2!BI13</f>
        <v>206</v>
      </c>
      <c r="E17" s="81"/>
    </row>
    <row r="18" spans="1:5" s="14" customFormat="1" ht="30">
      <c r="A18" s="13"/>
      <c r="B18" s="101" t="s">
        <v>209</v>
      </c>
      <c r="C18" s="146">
        <f t="shared" si="0"/>
        <v>1494</v>
      </c>
      <c r="D18" s="146">
        <f>Sheet2!BJ13</f>
        <v>1494</v>
      </c>
      <c r="E18" s="81"/>
    </row>
    <row r="19" spans="1:5" s="14" customFormat="1" ht="30">
      <c r="A19" s="13"/>
      <c r="B19" s="101" t="s">
        <v>210</v>
      </c>
      <c r="C19" s="146">
        <f t="shared" si="0"/>
        <v>0</v>
      </c>
      <c r="D19" s="146"/>
      <c r="E19" s="81"/>
    </row>
    <row r="20" spans="1:5" s="14" customFormat="1" ht="30">
      <c r="A20" s="13"/>
      <c r="B20" s="101" t="s">
        <v>211</v>
      </c>
      <c r="C20" s="146">
        <f t="shared" si="0"/>
        <v>47</v>
      </c>
      <c r="D20" s="146">
        <f>Sheet2!BL13</f>
        <v>47</v>
      </c>
      <c r="E20" s="81"/>
    </row>
    <row r="21" spans="1:5" s="14" customFormat="1" ht="16.5">
      <c r="A21" s="13"/>
      <c r="B21" s="101"/>
      <c r="C21" s="146"/>
      <c r="D21" s="146"/>
      <c r="E21" s="125"/>
    </row>
    <row r="22" spans="1:5" s="14" customFormat="1" ht="16.5">
      <c r="A22" s="113"/>
      <c r="B22" s="109"/>
      <c r="C22" s="112">
        <f t="shared" si="0"/>
        <v>0</v>
      </c>
      <c r="D22" s="112"/>
      <c r="E22" s="83"/>
    </row>
    <row r="23" s="14" customFormat="1" ht="12.75"/>
    <row r="24" s="14" customFormat="1" ht="12.75"/>
    <row r="25" s="14" customFormat="1" ht="12.75"/>
  </sheetData>
  <sheetProtection/>
  <mergeCells count="10">
    <mergeCell ref="E7:E8"/>
    <mergeCell ref="A1:E1"/>
    <mergeCell ref="A2:E2"/>
    <mergeCell ref="A5:E5"/>
    <mergeCell ref="A7:A8"/>
    <mergeCell ref="B7:B8"/>
    <mergeCell ref="C7:C8"/>
    <mergeCell ref="A3:B3"/>
    <mergeCell ref="A4:B4"/>
    <mergeCell ref="D7:D8"/>
  </mergeCells>
  <printOptions/>
  <pageMargins left="0.5" right="0.25" top="0.75" bottom="0.75" header="0.3" footer="0.3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zoomScalePageLayoutView="0" workbookViewId="0" topLeftCell="A11">
      <selection activeCell="C23" sqref="C23"/>
    </sheetView>
  </sheetViews>
  <sheetFormatPr defaultColWidth="9.00390625" defaultRowHeight="15.75"/>
  <cols>
    <col min="1" max="1" width="5.125" style="15" customWidth="1"/>
    <col min="2" max="2" width="35.375" style="15" customWidth="1"/>
    <col min="3" max="3" width="10.625" style="15" customWidth="1"/>
    <col min="4" max="4" width="11.75390625" style="15" customWidth="1"/>
    <col min="5" max="5" width="23.1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53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bổ'!AH42</f>
        <v>1098184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bổ'!AH43</f>
        <v>2764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11150</v>
      </c>
      <c r="D10" s="12">
        <f>D11+D14</f>
        <v>11150</v>
      </c>
      <c r="E10" s="13"/>
    </row>
    <row r="11" spans="1:5" s="3" customFormat="1" ht="24.75" customHeight="1">
      <c r="A11" s="16">
        <v>1</v>
      </c>
      <c r="B11" s="13" t="s">
        <v>27</v>
      </c>
      <c r="C11" s="17">
        <f>D11</f>
        <v>6397</v>
      </c>
      <c r="D11" s="17">
        <f>Sheet2!DZ40</f>
        <v>6397</v>
      </c>
      <c r="E11" s="18"/>
    </row>
    <row r="12" spans="1:5" s="3" customFormat="1" ht="30.75" customHeight="1">
      <c r="A12" s="77"/>
      <c r="B12" s="102" t="s">
        <v>248</v>
      </c>
      <c r="C12" s="147">
        <f>D12</f>
        <v>179</v>
      </c>
      <c r="D12" s="147">
        <f>Sheet2!AX40</f>
        <v>179</v>
      </c>
      <c r="E12" s="79"/>
    </row>
    <row r="13" spans="1:5" s="3" customFormat="1" ht="30.75" customHeight="1">
      <c r="A13" s="77"/>
      <c r="B13" s="102" t="s">
        <v>417</v>
      </c>
      <c r="C13" s="126">
        <f>D13</f>
        <v>21</v>
      </c>
      <c r="D13" s="147">
        <f>Sheet2!AY40</f>
        <v>21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4753</v>
      </c>
      <c r="D14" s="17">
        <f>Sheet2!EA40</f>
        <v>4753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3">SUM(D15:D15)</f>
        <v>0</v>
      </c>
      <c r="D15" s="17"/>
      <c r="E15" s="80"/>
    </row>
    <row r="16" spans="1:5" s="14" customFormat="1" ht="30">
      <c r="A16" s="13"/>
      <c r="B16" s="101" t="s">
        <v>208</v>
      </c>
      <c r="C16" s="145">
        <f t="shared" si="0"/>
        <v>47</v>
      </c>
      <c r="D16" s="145">
        <f>Sheet2!BH40</f>
        <v>47</v>
      </c>
      <c r="E16" s="81"/>
    </row>
    <row r="17" spans="1:5" s="14" customFormat="1" ht="30">
      <c r="A17" s="13"/>
      <c r="B17" s="101" t="s">
        <v>207</v>
      </c>
      <c r="C17" s="145">
        <f t="shared" si="0"/>
        <v>0</v>
      </c>
      <c r="D17" s="125">
        <f>Sheet2!BI40</f>
        <v>0</v>
      </c>
      <c r="E17" s="81"/>
    </row>
    <row r="18" spans="1:5" s="14" customFormat="1" ht="30">
      <c r="A18" s="13"/>
      <c r="B18" s="101" t="s">
        <v>209</v>
      </c>
      <c r="C18" s="145">
        <f t="shared" si="0"/>
        <v>0</v>
      </c>
      <c r="D18" s="125">
        <f>Sheet2!BJ40</f>
        <v>0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25">
        <f>Sheet2!BK40</f>
        <v>0</v>
      </c>
      <c r="E19" s="81"/>
    </row>
    <row r="20" spans="1:5" s="14" customFormat="1" ht="30">
      <c r="A20" s="13"/>
      <c r="B20" s="101" t="s">
        <v>211</v>
      </c>
      <c r="C20" s="145">
        <f t="shared" si="0"/>
        <v>0</v>
      </c>
      <c r="D20" s="125">
        <f>Sheet2!BL40</f>
        <v>0</v>
      </c>
      <c r="E20" s="81"/>
    </row>
    <row r="21" spans="1:5" s="14" customFormat="1" ht="16.5">
      <c r="A21" s="265"/>
      <c r="B21" s="266" t="s">
        <v>413</v>
      </c>
      <c r="C21" s="267">
        <f t="shared" si="0"/>
        <v>4500</v>
      </c>
      <c r="D21" s="267">
        <f>Sheet2!BF40</f>
        <v>4500</v>
      </c>
      <c r="E21" s="269"/>
    </row>
    <row r="22" spans="1:5" s="14" customFormat="1" ht="30">
      <c r="A22" s="271"/>
      <c r="B22" s="266" t="s">
        <v>454</v>
      </c>
      <c r="C22" s="267">
        <f t="shared" si="0"/>
        <v>154</v>
      </c>
      <c r="D22" s="267">
        <f>Sheet2!BT40</f>
        <v>154</v>
      </c>
      <c r="E22" s="269"/>
    </row>
    <row r="23" spans="1:5" s="14" customFormat="1" ht="16.5">
      <c r="A23" s="272"/>
      <c r="B23" s="273" t="s">
        <v>415</v>
      </c>
      <c r="C23" s="274">
        <f t="shared" si="0"/>
        <v>52</v>
      </c>
      <c r="D23" s="274">
        <f>Sheet2!BU40</f>
        <v>52</v>
      </c>
      <c r="E23" s="275"/>
    </row>
  </sheetData>
  <sheetProtection/>
  <mergeCells count="10">
    <mergeCell ref="A3:B3"/>
    <mergeCell ref="A4:B4"/>
    <mergeCell ref="A1:E1"/>
    <mergeCell ref="A2:E2"/>
    <mergeCell ref="A5:E5"/>
    <mergeCell ref="A7:A8"/>
    <mergeCell ref="B7:B8"/>
    <mergeCell ref="C7:C8"/>
    <mergeCell ref="D7:D8"/>
    <mergeCell ref="E7:E8"/>
  </mergeCells>
  <printOptions/>
  <pageMargins left="0.5" right="0.56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zoomScalePageLayoutView="0" workbookViewId="0" topLeftCell="A9">
      <selection activeCell="D16" sqref="D16:D23"/>
    </sheetView>
  </sheetViews>
  <sheetFormatPr defaultColWidth="9.00390625" defaultRowHeight="15.75"/>
  <cols>
    <col min="1" max="1" width="5.125" style="15" customWidth="1"/>
    <col min="2" max="2" width="35.875" style="15" customWidth="1"/>
    <col min="3" max="3" width="10.625" style="15" customWidth="1"/>
    <col min="4" max="4" width="11.125" style="15" customWidth="1"/>
    <col min="5" max="5" width="23.503906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54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bổ'!AF42</f>
        <v>1098185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bổ'!AF43</f>
        <v>2762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11220</v>
      </c>
      <c r="D10" s="12">
        <f>D11+D14</f>
        <v>11220</v>
      </c>
      <c r="E10" s="13"/>
    </row>
    <row r="11" spans="1:5" s="3" customFormat="1" ht="24.75" customHeight="1">
      <c r="A11" s="16">
        <v>1</v>
      </c>
      <c r="B11" s="13" t="s">
        <v>27</v>
      </c>
      <c r="C11" s="17">
        <f>D11</f>
        <v>6467</v>
      </c>
      <c r="D11" s="17">
        <f>Sheet2!DZ41</f>
        <v>6467</v>
      </c>
      <c r="E11" s="18"/>
    </row>
    <row r="12" spans="1:5" s="3" customFormat="1" ht="30" customHeight="1">
      <c r="A12" s="77"/>
      <c r="B12" s="102" t="s">
        <v>248</v>
      </c>
      <c r="C12" s="147">
        <f>D12</f>
        <v>188</v>
      </c>
      <c r="D12" s="147">
        <f>Sheet2!AX41</f>
        <v>188</v>
      </c>
      <c r="E12" s="79"/>
    </row>
    <row r="13" spans="1:5" s="3" customFormat="1" ht="30" customHeight="1">
      <c r="A13" s="77"/>
      <c r="B13" s="102" t="s">
        <v>417</v>
      </c>
      <c r="C13" s="126">
        <f>D13</f>
        <v>22</v>
      </c>
      <c r="D13" s="147">
        <f>Sheet2!AY41</f>
        <v>22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4753</v>
      </c>
      <c r="D14" s="17">
        <f>Sheet2!EA41</f>
        <v>4753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3">SUM(D15:D15)</f>
        <v>0</v>
      </c>
      <c r="D15" s="17"/>
      <c r="E15" s="80"/>
    </row>
    <row r="16" spans="1:5" s="14" customFormat="1" ht="30">
      <c r="A16" s="13"/>
      <c r="B16" s="101" t="s">
        <v>208</v>
      </c>
      <c r="C16" s="145">
        <f t="shared" si="0"/>
        <v>47</v>
      </c>
      <c r="D16" s="145">
        <f>Sheet2!BH41</f>
        <v>47</v>
      </c>
      <c r="E16" s="81"/>
    </row>
    <row r="17" spans="1:5" s="14" customFormat="1" ht="30">
      <c r="A17" s="13"/>
      <c r="B17" s="101" t="s">
        <v>207</v>
      </c>
      <c r="C17" s="145">
        <f t="shared" si="0"/>
        <v>0</v>
      </c>
      <c r="D17" s="125">
        <f>Sheet2!BI41</f>
        <v>0</v>
      </c>
      <c r="E17" s="81"/>
    </row>
    <row r="18" spans="1:5" s="14" customFormat="1" ht="30">
      <c r="A18" s="13"/>
      <c r="B18" s="101" t="s">
        <v>209</v>
      </c>
      <c r="C18" s="145">
        <f t="shared" si="0"/>
        <v>0</v>
      </c>
      <c r="D18" s="125">
        <f>Sheet2!BJ41</f>
        <v>0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51">
        <f>Sheet2!BK41</f>
        <v>0</v>
      </c>
      <c r="E19" s="81"/>
    </row>
    <row r="20" spans="1:5" s="14" customFormat="1" ht="30">
      <c r="A20" s="13"/>
      <c r="B20" s="101" t="s">
        <v>211</v>
      </c>
      <c r="C20" s="145">
        <f t="shared" si="0"/>
        <v>0</v>
      </c>
      <c r="D20" s="151">
        <f>Sheet2!BL41</f>
        <v>0</v>
      </c>
      <c r="E20" s="81"/>
    </row>
    <row r="21" spans="1:5" s="14" customFormat="1" ht="16.5">
      <c r="A21" s="265"/>
      <c r="B21" s="266" t="s">
        <v>413</v>
      </c>
      <c r="C21" s="267">
        <f t="shared" si="0"/>
        <v>4500</v>
      </c>
      <c r="D21" s="333">
        <f>Sheet2!BF41</f>
        <v>4500</v>
      </c>
      <c r="E21" s="269"/>
    </row>
    <row r="22" spans="1:5" s="14" customFormat="1" ht="30">
      <c r="A22" s="271"/>
      <c r="B22" s="266" t="s">
        <v>454</v>
      </c>
      <c r="C22" s="267">
        <f t="shared" si="0"/>
        <v>154</v>
      </c>
      <c r="D22" s="267">
        <f>Sheet2!BT41</f>
        <v>154</v>
      </c>
      <c r="E22" s="269"/>
    </row>
    <row r="23" spans="1:5" s="14" customFormat="1" ht="16.5">
      <c r="A23" s="272"/>
      <c r="B23" s="273" t="s">
        <v>415</v>
      </c>
      <c r="C23" s="274">
        <f t="shared" si="0"/>
        <v>52</v>
      </c>
      <c r="D23" s="274">
        <f>Sheet2!BU41</f>
        <v>52</v>
      </c>
      <c r="E23" s="275"/>
    </row>
  </sheetData>
  <sheetProtection/>
  <mergeCells count="10">
    <mergeCell ref="A3:B3"/>
    <mergeCell ref="A4:B4"/>
    <mergeCell ref="A1:E1"/>
    <mergeCell ref="A2:E2"/>
    <mergeCell ref="A5:E5"/>
    <mergeCell ref="A7:A8"/>
    <mergeCell ref="B7:B8"/>
    <mergeCell ref="C7:C8"/>
    <mergeCell ref="D7:D8"/>
    <mergeCell ref="E7:E8"/>
  </mergeCells>
  <printOptions/>
  <pageMargins left="0.54" right="0.5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zoomScalePageLayoutView="0" workbookViewId="0" topLeftCell="A13">
      <selection activeCell="D16" sqref="D16:D23"/>
    </sheetView>
  </sheetViews>
  <sheetFormatPr defaultColWidth="9.00390625" defaultRowHeight="15.75"/>
  <cols>
    <col min="1" max="1" width="5.125" style="15" customWidth="1"/>
    <col min="2" max="2" width="35.625" style="15" customWidth="1"/>
    <col min="3" max="3" width="10.625" style="15" customWidth="1"/>
    <col min="4" max="4" width="11.75390625" style="15" customWidth="1"/>
    <col min="5" max="5" width="23.1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57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bổ'!AK42</f>
        <v>1098379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bổ'!AK43</f>
        <v>2769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11957</v>
      </c>
      <c r="D10" s="12">
        <f>D11+D14</f>
        <v>11957</v>
      </c>
      <c r="E10" s="13"/>
    </row>
    <row r="11" spans="1:5" s="3" customFormat="1" ht="24.75" customHeight="1">
      <c r="A11" s="16">
        <v>1</v>
      </c>
      <c r="B11" s="13" t="s">
        <v>27</v>
      </c>
      <c r="C11" s="17">
        <f>D11</f>
        <v>7203</v>
      </c>
      <c r="D11" s="17">
        <f>Sheet2!DZ42</f>
        <v>7203</v>
      </c>
      <c r="E11" s="18"/>
    </row>
    <row r="12" spans="1:5" s="3" customFormat="1" ht="31.5" customHeight="1">
      <c r="A12" s="77"/>
      <c r="B12" s="102" t="s">
        <v>248</v>
      </c>
      <c r="C12" s="147">
        <f>D12</f>
        <v>189</v>
      </c>
      <c r="D12" s="147">
        <f>Sheet2!AX42</f>
        <v>189</v>
      </c>
      <c r="E12" s="79"/>
    </row>
    <row r="13" spans="1:5" s="3" customFormat="1" ht="31.5" customHeight="1">
      <c r="A13" s="77"/>
      <c r="B13" s="102" t="s">
        <v>417</v>
      </c>
      <c r="C13" s="126">
        <f>D13</f>
        <v>22</v>
      </c>
      <c r="D13" s="147">
        <f>Sheet2!AY42</f>
        <v>22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4754</v>
      </c>
      <c r="D14" s="17">
        <f>Sheet2!EA42</f>
        <v>4754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3">SUM(D15:D15)</f>
        <v>0</v>
      </c>
      <c r="D15" s="17"/>
      <c r="E15" s="80"/>
    </row>
    <row r="16" spans="1:5" s="14" customFormat="1" ht="30">
      <c r="A16" s="13"/>
      <c r="B16" s="101" t="s">
        <v>208</v>
      </c>
      <c r="C16" s="145">
        <f t="shared" si="0"/>
        <v>48</v>
      </c>
      <c r="D16" s="145">
        <f>Sheet2!BH42</f>
        <v>48</v>
      </c>
      <c r="E16" s="81"/>
    </row>
    <row r="17" spans="1:5" s="14" customFormat="1" ht="30">
      <c r="A17" s="13"/>
      <c r="B17" s="101" t="s">
        <v>207</v>
      </c>
      <c r="C17" s="145">
        <f t="shared" si="0"/>
        <v>0</v>
      </c>
      <c r="D17" s="125">
        <f>Sheet2!BI42</f>
        <v>0</v>
      </c>
      <c r="E17" s="81"/>
    </row>
    <row r="18" spans="1:5" s="14" customFormat="1" ht="30">
      <c r="A18" s="13"/>
      <c r="B18" s="101" t="s">
        <v>209</v>
      </c>
      <c r="C18" s="145">
        <f t="shared" si="0"/>
        <v>0</v>
      </c>
      <c r="D18" s="125">
        <f>Sheet2!BJ42</f>
        <v>0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51">
        <f>Sheet2!BK42</f>
        <v>0</v>
      </c>
      <c r="E19" s="81"/>
    </row>
    <row r="20" spans="1:5" s="14" customFormat="1" ht="30">
      <c r="A20" s="13"/>
      <c r="B20" s="101" t="s">
        <v>211</v>
      </c>
      <c r="C20" s="145">
        <f t="shared" si="0"/>
        <v>0</v>
      </c>
      <c r="D20" s="151">
        <f>Sheet2!BL42</f>
        <v>0</v>
      </c>
      <c r="E20" s="81"/>
    </row>
    <row r="21" spans="1:5" s="14" customFormat="1" ht="16.5">
      <c r="A21" s="265"/>
      <c r="B21" s="266" t="s">
        <v>413</v>
      </c>
      <c r="C21" s="267">
        <f t="shared" si="0"/>
        <v>4500</v>
      </c>
      <c r="D21" s="333">
        <f>Sheet2!BF42</f>
        <v>4500</v>
      </c>
      <c r="E21" s="269"/>
    </row>
    <row r="22" spans="1:5" s="14" customFormat="1" ht="30">
      <c r="A22" s="271"/>
      <c r="B22" s="266" t="s">
        <v>454</v>
      </c>
      <c r="C22" s="267">
        <f t="shared" si="0"/>
        <v>154</v>
      </c>
      <c r="D22" s="267">
        <f>Sheet2!BT42</f>
        <v>154</v>
      </c>
      <c r="E22" s="269"/>
    </row>
    <row r="23" spans="1:5" s="14" customFormat="1" ht="16.5">
      <c r="A23" s="272"/>
      <c r="B23" s="273" t="s">
        <v>415</v>
      </c>
      <c r="C23" s="274">
        <f t="shared" si="0"/>
        <v>52</v>
      </c>
      <c r="D23" s="274">
        <f>Sheet2!BU42</f>
        <v>52</v>
      </c>
      <c r="E23" s="275"/>
    </row>
  </sheetData>
  <sheetProtection/>
  <mergeCells count="10">
    <mergeCell ref="A3:B3"/>
    <mergeCell ref="A4:B4"/>
    <mergeCell ref="A1:E1"/>
    <mergeCell ref="A2:E2"/>
    <mergeCell ref="A5:E5"/>
    <mergeCell ref="A7:A8"/>
    <mergeCell ref="B7:B8"/>
    <mergeCell ref="C7:C8"/>
    <mergeCell ref="D7:D8"/>
    <mergeCell ref="E7:E8"/>
  </mergeCells>
  <printOptions/>
  <pageMargins left="0.65" right="0.38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zoomScalePageLayoutView="0" workbookViewId="0" topLeftCell="A11">
      <selection activeCell="D16" sqref="D16:D23"/>
    </sheetView>
  </sheetViews>
  <sheetFormatPr defaultColWidth="9.00390625" defaultRowHeight="15.75"/>
  <cols>
    <col min="1" max="1" width="5.125" style="15" customWidth="1"/>
    <col min="2" max="2" width="33.875" style="15" customWidth="1"/>
    <col min="3" max="3" width="10.625" style="15" customWidth="1"/>
    <col min="4" max="4" width="11.75390625" style="15" customWidth="1"/>
    <col min="5" max="5" width="25.753906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55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bổ'!AI42</f>
        <v>1098181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bổ'!AI43</f>
        <v>2763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10272</v>
      </c>
      <c r="D10" s="12">
        <f>D11+D14</f>
        <v>10272</v>
      </c>
      <c r="E10" s="13"/>
    </row>
    <row r="11" spans="1:5" s="3" customFormat="1" ht="24.75" customHeight="1">
      <c r="A11" s="16">
        <v>1</v>
      </c>
      <c r="B11" s="13" t="s">
        <v>27</v>
      </c>
      <c r="C11" s="17">
        <f>D11</f>
        <v>5518</v>
      </c>
      <c r="D11" s="17">
        <f>Sheet2!DZ43</f>
        <v>5518</v>
      </c>
      <c r="E11" s="18"/>
    </row>
    <row r="12" spans="1:5" s="3" customFormat="1" ht="33" customHeight="1">
      <c r="A12" s="77"/>
      <c r="B12" s="102" t="s">
        <v>248</v>
      </c>
      <c r="C12" s="147">
        <f>D12</f>
        <v>166</v>
      </c>
      <c r="D12" s="147">
        <f>Sheet2!AX43</f>
        <v>166</v>
      </c>
      <c r="E12" s="79"/>
    </row>
    <row r="13" spans="1:5" s="3" customFormat="1" ht="33" customHeight="1">
      <c r="A13" s="77"/>
      <c r="B13" s="102" t="s">
        <v>417</v>
      </c>
      <c r="C13" s="126">
        <f>D13</f>
        <v>19</v>
      </c>
      <c r="D13" s="147">
        <f>Sheet2!AY43</f>
        <v>19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4754</v>
      </c>
      <c r="D14" s="17">
        <f>Sheet2!EA43</f>
        <v>4754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3">SUM(D15:D15)</f>
        <v>0</v>
      </c>
      <c r="D15" s="17"/>
      <c r="E15" s="80"/>
    </row>
    <row r="16" spans="1:5" s="14" customFormat="1" ht="30">
      <c r="A16" s="13"/>
      <c r="B16" s="101" t="s">
        <v>208</v>
      </c>
      <c r="C16" s="145">
        <f t="shared" si="0"/>
        <v>48</v>
      </c>
      <c r="D16" s="145">
        <f>Sheet2!BH43</f>
        <v>48</v>
      </c>
      <c r="E16" s="81"/>
    </row>
    <row r="17" spans="1:5" s="14" customFormat="1" ht="30">
      <c r="A17" s="13"/>
      <c r="B17" s="101" t="s">
        <v>207</v>
      </c>
      <c r="C17" s="145">
        <f t="shared" si="0"/>
        <v>0</v>
      </c>
      <c r="D17" s="125">
        <f>Sheet2!BI43</f>
        <v>0</v>
      </c>
      <c r="E17" s="81"/>
    </row>
    <row r="18" spans="1:5" s="14" customFormat="1" ht="45">
      <c r="A18" s="13"/>
      <c r="B18" s="101" t="s">
        <v>209</v>
      </c>
      <c r="C18" s="145">
        <f t="shared" si="0"/>
        <v>0</v>
      </c>
      <c r="D18" s="125">
        <f>Sheet2!BJ43</f>
        <v>0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51">
        <f>Sheet2!BK43</f>
        <v>0</v>
      </c>
      <c r="E19" s="81"/>
    </row>
    <row r="20" spans="1:5" s="14" customFormat="1" ht="30">
      <c r="A20" s="13"/>
      <c r="B20" s="101" t="s">
        <v>211</v>
      </c>
      <c r="C20" s="145">
        <f t="shared" si="0"/>
        <v>0</v>
      </c>
      <c r="D20" s="151">
        <f>Sheet2!BL43</f>
        <v>0</v>
      </c>
      <c r="E20" s="81"/>
    </row>
    <row r="21" spans="1:5" s="14" customFormat="1" ht="16.5">
      <c r="A21" s="265"/>
      <c r="B21" s="266" t="s">
        <v>413</v>
      </c>
      <c r="C21" s="267">
        <f t="shared" si="0"/>
        <v>4500</v>
      </c>
      <c r="D21" s="333">
        <f>Sheet2!BF43</f>
        <v>4500</v>
      </c>
      <c r="E21" s="269"/>
    </row>
    <row r="22" spans="1:5" s="14" customFormat="1" ht="30">
      <c r="A22" s="271"/>
      <c r="B22" s="266" t="s">
        <v>454</v>
      </c>
      <c r="C22" s="267">
        <f t="shared" si="0"/>
        <v>154</v>
      </c>
      <c r="D22" s="267">
        <f>Sheet2!BT43</f>
        <v>154</v>
      </c>
      <c r="E22" s="269"/>
    </row>
    <row r="23" spans="1:5" s="14" customFormat="1" ht="16.5">
      <c r="A23" s="272"/>
      <c r="B23" s="273" t="s">
        <v>415</v>
      </c>
      <c r="C23" s="274">
        <f t="shared" si="0"/>
        <v>52</v>
      </c>
      <c r="D23" s="274">
        <f>Sheet2!BU43</f>
        <v>52</v>
      </c>
      <c r="E23" s="275"/>
    </row>
  </sheetData>
  <sheetProtection/>
  <mergeCells count="10">
    <mergeCell ref="A3:B3"/>
    <mergeCell ref="A4:B4"/>
    <mergeCell ref="A1:E1"/>
    <mergeCell ref="A2:E2"/>
    <mergeCell ref="A5:E5"/>
    <mergeCell ref="A7:A8"/>
    <mergeCell ref="B7:B8"/>
    <mergeCell ref="C7:C8"/>
    <mergeCell ref="D7:D8"/>
    <mergeCell ref="E7:E8"/>
  </mergeCells>
  <printOptions/>
  <pageMargins left="0.54" right="0.41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zoomScalePageLayoutView="0" workbookViewId="0" topLeftCell="A11">
      <selection activeCell="D16" sqref="D16:D24"/>
    </sheetView>
  </sheetViews>
  <sheetFormatPr defaultColWidth="9.00390625" defaultRowHeight="15.75"/>
  <cols>
    <col min="1" max="1" width="5.125" style="15" customWidth="1"/>
    <col min="2" max="2" width="35.375" style="15" customWidth="1"/>
    <col min="3" max="3" width="10.625" style="15" customWidth="1"/>
    <col min="4" max="4" width="11.75390625" style="15" customWidth="1"/>
    <col min="5" max="5" width="23.503906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56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bổ'!AJ42</f>
        <v>1098182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bổ'!AJ43</f>
        <v>2768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12859</v>
      </c>
      <c r="D10" s="12">
        <f>D11+D14</f>
        <v>12859</v>
      </c>
      <c r="E10" s="13"/>
    </row>
    <row r="11" spans="1:5" s="3" customFormat="1" ht="24.75" customHeight="1">
      <c r="A11" s="16">
        <v>1</v>
      </c>
      <c r="B11" s="13" t="s">
        <v>27</v>
      </c>
      <c r="C11" s="17">
        <f>D11</f>
        <v>8080</v>
      </c>
      <c r="D11" s="17">
        <f>Sheet2!DZ44</f>
        <v>8080</v>
      </c>
      <c r="E11" s="18"/>
    </row>
    <row r="12" spans="1:5" s="3" customFormat="1" ht="35.25" customHeight="1">
      <c r="A12" s="77"/>
      <c r="B12" s="102" t="s">
        <v>248</v>
      </c>
      <c r="C12" s="147">
        <f>D12</f>
        <v>175</v>
      </c>
      <c r="D12" s="147">
        <f>Sheet2!AX44</f>
        <v>175</v>
      </c>
      <c r="E12" s="79"/>
    </row>
    <row r="13" spans="1:5" s="3" customFormat="1" ht="35.25" customHeight="1">
      <c r="A13" s="77"/>
      <c r="B13" s="102" t="s">
        <v>417</v>
      </c>
      <c r="C13" s="126">
        <f>D13</f>
        <v>20</v>
      </c>
      <c r="D13" s="147">
        <f>Sheet2!AY44</f>
        <v>20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4779</v>
      </c>
      <c r="D14" s="17">
        <f>Sheet2!EA44</f>
        <v>4779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3">SUM(D15:D15)</f>
        <v>0</v>
      </c>
      <c r="D15" s="17"/>
      <c r="E15" s="80"/>
    </row>
    <row r="16" spans="1:5" s="14" customFormat="1" ht="30">
      <c r="A16" s="13"/>
      <c r="B16" s="101" t="s">
        <v>208</v>
      </c>
      <c r="C16" s="145">
        <f t="shared" si="0"/>
        <v>52</v>
      </c>
      <c r="D16" s="145">
        <f>Sheet2!BH44</f>
        <v>52</v>
      </c>
      <c r="E16" s="81"/>
    </row>
    <row r="17" spans="1:5" s="14" customFormat="1" ht="30">
      <c r="A17" s="13"/>
      <c r="B17" s="101" t="s">
        <v>207</v>
      </c>
      <c r="C17" s="145">
        <f t="shared" si="0"/>
        <v>0</v>
      </c>
      <c r="D17" s="145">
        <f>Sheet2!BI44</f>
        <v>0</v>
      </c>
      <c r="E17" s="81"/>
    </row>
    <row r="18" spans="1:5" s="14" customFormat="1" ht="30">
      <c r="A18" s="13"/>
      <c r="B18" s="101" t="s">
        <v>209</v>
      </c>
      <c r="C18" s="145">
        <f t="shared" si="0"/>
        <v>0</v>
      </c>
      <c r="D18" s="145">
        <f>Sheet2!BJ44</f>
        <v>0</v>
      </c>
      <c r="E18" s="81"/>
    </row>
    <row r="19" spans="1:5" s="14" customFormat="1" ht="30">
      <c r="A19" s="13"/>
      <c r="B19" s="101" t="s">
        <v>210</v>
      </c>
      <c r="C19" s="145">
        <f t="shared" si="0"/>
        <v>21</v>
      </c>
      <c r="D19" s="145">
        <f>Sheet2!BK44</f>
        <v>21</v>
      </c>
      <c r="E19" s="81"/>
    </row>
    <row r="20" spans="1:5" s="14" customFormat="1" ht="30">
      <c r="A20" s="13"/>
      <c r="B20" s="101" t="s">
        <v>211</v>
      </c>
      <c r="C20" s="145">
        <f t="shared" si="0"/>
        <v>0</v>
      </c>
      <c r="D20" s="151">
        <f>Sheet2!BL44</f>
        <v>0</v>
      </c>
      <c r="E20" s="81"/>
    </row>
    <row r="21" spans="1:5" s="14" customFormat="1" ht="16.5">
      <c r="A21" s="265"/>
      <c r="B21" s="266" t="s">
        <v>413</v>
      </c>
      <c r="C21" s="267">
        <f t="shared" si="0"/>
        <v>4500</v>
      </c>
      <c r="D21" s="333">
        <f>Sheet2!BF44</f>
        <v>4500</v>
      </c>
      <c r="E21" s="269"/>
    </row>
    <row r="22" spans="1:5" s="14" customFormat="1" ht="30">
      <c r="A22" s="271"/>
      <c r="B22" s="266" t="s">
        <v>454</v>
      </c>
      <c r="C22" s="267">
        <f t="shared" si="0"/>
        <v>154</v>
      </c>
      <c r="D22" s="267">
        <f>Sheet2!BT44</f>
        <v>154</v>
      </c>
      <c r="E22" s="269"/>
    </row>
    <row r="23" spans="1:5" s="14" customFormat="1" ht="16.5">
      <c r="A23" s="272"/>
      <c r="B23" s="273" t="s">
        <v>415</v>
      </c>
      <c r="C23" s="274">
        <f t="shared" si="0"/>
        <v>52</v>
      </c>
      <c r="D23" s="274">
        <f>Sheet2!BU44</f>
        <v>52</v>
      </c>
      <c r="E23" s="275"/>
    </row>
  </sheetData>
  <sheetProtection/>
  <mergeCells count="10">
    <mergeCell ref="A3:B3"/>
    <mergeCell ref="A4:B4"/>
    <mergeCell ref="A1:E1"/>
    <mergeCell ref="A2:E2"/>
    <mergeCell ref="A5:E5"/>
    <mergeCell ref="A7:A8"/>
    <mergeCell ref="B7:B8"/>
    <mergeCell ref="C7:C8"/>
    <mergeCell ref="D7:D8"/>
    <mergeCell ref="E7:E8"/>
  </mergeCells>
  <printOptions/>
  <pageMargins left="0.54" right="0.49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4"/>
  <sheetViews>
    <sheetView zoomScalePageLayoutView="0" workbookViewId="0" topLeftCell="A1">
      <selection activeCell="E23" sqref="A1:E23"/>
    </sheetView>
  </sheetViews>
  <sheetFormatPr defaultColWidth="9.00390625" defaultRowHeight="15.75"/>
  <cols>
    <col min="1" max="1" width="5.125" style="15" customWidth="1"/>
    <col min="2" max="2" width="35.375" style="15" customWidth="1"/>
    <col min="3" max="3" width="10.625" style="15" customWidth="1"/>
    <col min="4" max="4" width="11.75390625" style="15" customWidth="1"/>
    <col min="5" max="5" width="23.503906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13" t="s">
        <v>414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bổ'!AJ42</f>
        <v>1098182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bổ'!AJ43</f>
        <v>2768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8637</v>
      </c>
      <c r="D10" s="12">
        <f>D11+D14</f>
        <v>8637</v>
      </c>
      <c r="E10" s="13"/>
    </row>
    <row r="11" spans="1:5" s="3" customFormat="1" ht="24" customHeight="1">
      <c r="A11" s="16">
        <v>1</v>
      </c>
      <c r="B11" s="13" t="s">
        <v>27</v>
      </c>
      <c r="C11" s="17">
        <f>D11</f>
        <v>3884</v>
      </c>
      <c r="D11" s="17">
        <f>Sheet2!DZ45</f>
        <v>3884</v>
      </c>
      <c r="E11" s="130"/>
    </row>
    <row r="12" spans="1:5" s="3" customFormat="1" ht="35.25" customHeight="1">
      <c r="A12" s="77"/>
      <c r="B12" s="102" t="s">
        <v>248</v>
      </c>
      <c r="C12" s="147">
        <f>D12</f>
        <v>102</v>
      </c>
      <c r="D12" s="147">
        <f>Sheet2!AX45</f>
        <v>102</v>
      </c>
      <c r="E12" s="79"/>
    </row>
    <row r="13" spans="1:5" s="3" customFormat="1" ht="35.25" customHeight="1">
      <c r="A13" s="77"/>
      <c r="B13" s="102" t="s">
        <v>417</v>
      </c>
      <c r="C13" s="126">
        <f>D13</f>
        <v>12</v>
      </c>
      <c r="D13" s="147">
        <f>Sheet2!AY45</f>
        <v>12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4753</v>
      </c>
      <c r="D14" s="17">
        <f>Sheet2!EA45</f>
        <v>4753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3">SUM(D15:D15)</f>
        <v>0</v>
      </c>
      <c r="D15" s="17"/>
      <c r="E15" s="80"/>
    </row>
    <row r="16" spans="1:5" s="14" customFormat="1" ht="30">
      <c r="A16" s="13"/>
      <c r="B16" s="101" t="s">
        <v>208</v>
      </c>
      <c r="C16" s="145">
        <f t="shared" si="0"/>
        <v>47</v>
      </c>
      <c r="D16" s="145">
        <f>Sheet2!BH45</f>
        <v>47</v>
      </c>
      <c r="E16" s="81"/>
    </row>
    <row r="17" spans="1:5" s="14" customFormat="1" ht="30">
      <c r="A17" s="13"/>
      <c r="B17" s="101" t="s">
        <v>207</v>
      </c>
      <c r="C17" s="145">
        <f t="shared" si="0"/>
        <v>0</v>
      </c>
      <c r="D17" s="145">
        <f>Sheet2!BI45</f>
        <v>0</v>
      </c>
      <c r="E17" s="81"/>
    </row>
    <row r="18" spans="1:5" s="14" customFormat="1" ht="30">
      <c r="A18" s="13"/>
      <c r="B18" s="101" t="s">
        <v>209</v>
      </c>
      <c r="C18" s="145">
        <f t="shared" si="0"/>
        <v>0</v>
      </c>
      <c r="D18" s="145">
        <f>Sheet2!BJ45</f>
        <v>0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45">
        <f>Sheet2!BK45</f>
        <v>0</v>
      </c>
      <c r="E19" s="81"/>
    </row>
    <row r="20" spans="1:5" s="14" customFormat="1" ht="30">
      <c r="A20" s="13"/>
      <c r="B20" s="101" t="s">
        <v>211</v>
      </c>
      <c r="C20" s="145">
        <f t="shared" si="0"/>
        <v>0</v>
      </c>
      <c r="D20" s="151">
        <f>Sheet2!BL45</f>
        <v>0</v>
      </c>
      <c r="E20" s="81"/>
    </row>
    <row r="21" spans="1:5" s="14" customFormat="1" ht="16.5">
      <c r="A21" s="265"/>
      <c r="B21" s="266" t="s">
        <v>413</v>
      </c>
      <c r="C21" s="267">
        <f t="shared" si="0"/>
        <v>4500</v>
      </c>
      <c r="D21" s="333">
        <f>Sheet2!BF45</f>
        <v>4500</v>
      </c>
      <c r="E21" s="269"/>
    </row>
    <row r="22" spans="1:5" s="14" customFormat="1" ht="30">
      <c r="A22" s="271"/>
      <c r="B22" s="266" t="s">
        <v>454</v>
      </c>
      <c r="C22" s="267">
        <f t="shared" si="0"/>
        <v>154</v>
      </c>
      <c r="D22" s="267">
        <f>Sheet2!BT45</f>
        <v>154</v>
      </c>
      <c r="E22" s="269"/>
    </row>
    <row r="23" spans="1:5" s="14" customFormat="1" ht="16.5">
      <c r="A23" s="272"/>
      <c r="B23" s="273" t="s">
        <v>415</v>
      </c>
      <c r="C23" s="274">
        <f t="shared" si="0"/>
        <v>52</v>
      </c>
      <c r="D23" s="274">
        <f>Sheet2!BU45</f>
        <v>52</v>
      </c>
      <c r="E23" s="275"/>
    </row>
    <row r="24" ht="12.75">
      <c r="D24" s="332"/>
    </row>
  </sheetData>
  <sheetProtection/>
  <mergeCells count="10">
    <mergeCell ref="A1:E1"/>
    <mergeCell ref="A2:E2"/>
    <mergeCell ref="A3:B3"/>
    <mergeCell ref="A4:B4"/>
    <mergeCell ref="A5:E5"/>
    <mergeCell ref="A7:A8"/>
    <mergeCell ref="B7:B8"/>
    <mergeCell ref="C7:C8"/>
    <mergeCell ref="D7:D8"/>
    <mergeCell ref="E7:E8"/>
  </mergeCells>
  <printOptions/>
  <pageMargins left="0.5" right="0.25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5"/>
  <sheetViews>
    <sheetView zoomScalePageLayoutView="0" workbookViewId="0" topLeftCell="A10">
      <selection activeCell="H10" sqref="H10"/>
    </sheetView>
  </sheetViews>
  <sheetFormatPr defaultColWidth="9.00390625" defaultRowHeight="15.75"/>
  <cols>
    <col min="1" max="1" width="5.125" style="15" customWidth="1"/>
    <col min="2" max="2" width="36.00390625" style="15" customWidth="1"/>
    <col min="3" max="3" width="11.125" style="15" customWidth="1"/>
    <col min="4" max="5" width="11.75390625" style="15" customWidth="1"/>
    <col min="6" max="6" width="23.25390625" style="15" customWidth="1"/>
    <col min="7" max="16384" width="9.00390625" style="15" customWidth="1"/>
  </cols>
  <sheetData>
    <row r="1" spans="1:6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  <c r="F1" s="406"/>
    </row>
    <row r="2" spans="1:6" s="4" customFormat="1" ht="18" customHeight="1">
      <c r="A2" s="407" t="s">
        <v>58</v>
      </c>
      <c r="B2" s="407"/>
      <c r="C2" s="407"/>
      <c r="D2" s="407"/>
      <c r="E2" s="407"/>
      <c r="F2" s="407"/>
    </row>
    <row r="3" spans="1:6" s="4" customFormat="1" ht="16.5" customHeight="1">
      <c r="A3" s="410" t="s">
        <v>183</v>
      </c>
      <c r="B3" s="410"/>
      <c r="C3" s="73" t="str">
        <f>'Phân bổ'!AM42</f>
        <v>1031669</v>
      </c>
      <c r="D3" s="72"/>
      <c r="E3" s="72"/>
      <c r="F3" s="72"/>
    </row>
    <row r="4" spans="1:6" s="4" customFormat="1" ht="15" customHeight="1">
      <c r="A4" s="410" t="s">
        <v>184</v>
      </c>
      <c r="B4" s="410"/>
      <c r="C4" s="73" t="str">
        <f>'Phân bổ'!AM43</f>
        <v>2761</v>
      </c>
      <c r="D4" s="72"/>
      <c r="E4" s="72"/>
      <c r="F4" s="72"/>
    </row>
    <row r="5" spans="1:6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  <c r="F5" s="408"/>
    </row>
    <row r="6" spans="1:6" s="3" customFormat="1" ht="16.5">
      <c r="A6" s="5"/>
      <c r="B6" s="5"/>
      <c r="C6" s="6"/>
      <c r="D6" s="6"/>
      <c r="E6" s="6"/>
      <c r="F6" s="7" t="s">
        <v>29</v>
      </c>
    </row>
    <row r="7" spans="1:6" s="8" customFormat="1" ht="30.75" customHeight="1">
      <c r="A7" s="404" t="s">
        <v>0</v>
      </c>
      <c r="B7" s="404" t="s">
        <v>22</v>
      </c>
      <c r="C7" s="404" t="s">
        <v>23</v>
      </c>
      <c r="D7" s="411" t="s">
        <v>188</v>
      </c>
      <c r="E7" s="411" t="s">
        <v>474</v>
      </c>
      <c r="F7" s="404" t="s">
        <v>24</v>
      </c>
    </row>
    <row r="8" spans="1:6" s="8" customFormat="1" ht="33.75" customHeight="1">
      <c r="A8" s="405"/>
      <c r="B8" s="405"/>
      <c r="C8" s="409"/>
      <c r="D8" s="412"/>
      <c r="E8" s="412"/>
      <c r="F8" s="405"/>
    </row>
    <row r="9" spans="1:6" s="92" customFormat="1" ht="18" customHeight="1">
      <c r="A9" s="85" t="s">
        <v>1</v>
      </c>
      <c r="B9" s="86" t="s">
        <v>25</v>
      </c>
      <c r="C9" s="90"/>
      <c r="D9" s="90"/>
      <c r="E9" s="90"/>
      <c r="F9" s="91"/>
    </row>
    <row r="10" spans="1:6" s="92" customFormat="1" ht="18" customHeight="1">
      <c r="A10" s="87" t="s">
        <v>20</v>
      </c>
      <c r="B10" s="88" t="s">
        <v>475</v>
      </c>
      <c r="C10" s="93">
        <f>C11+C23</f>
        <v>4928</v>
      </c>
      <c r="D10" s="93">
        <f>D11+D23</f>
        <v>3967</v>
      </c>
      <c r="E10" s="93">
        <f>E11+E23</f>
        <v>961</v>
      </c>
      <c r="F10" s="94"/>
    </row>
    <row r="11" spans="1:6" s="92" customFormat="1" ht="18" customHeight="1">
      <c r="A11" s="87">
        <v>1</v>
      </c>
      <c r="B11" s="88" t="s">
        <v>223</v>
      </c>
      <c r="C11" s="95">
        <f>SUM(D11:E11)</f>
        <v>3967</v>
      </c>
      <c r="D11" s="93">
        <f>D12+D15</f>
        <v>3967</v>
      </c>
      <c r="E11" s="93">
        <f>E12+E15</f>
        <v>0</v>
      </c>
      <c r="F11" s="94"/>
    </row>
    <row r="12" spans="1:6" s="4" customFormat="1" ht="24.75" customHeight="1">
      <c r="A12" s="16" t="s">
        <v>476</v>
      </c>
      <c r="B12" s="13" t="s">
        <v>27</v>
      </c>
      <c r="C12" s="95">
        <f aca="true" t="shared" si="0" ref="C12:C22">SUM(D12:E12)</f>
        <v>3895</v>
      </c>
      <c r="D12" s="95">
        <f>Sheet2!DZ47</f>
        <v>3895</v>
      </c>
      <c r="E12" s="95"/>
      <c r="F12" s="96"/>
    </row>
    <row r="13" spans="1:6" s="4" customFormat="1" ht="35.25" customHeight="1">
      <c r="A13" s="77"/>
      <c r="B13" s="102" t="s">
        <v>248</v>
      </c>
      <c r="C13" s="95">
        <f t="shared" si="0"/>
        <v>22</v>
      </c>
      <c r="D13" s="156">
        <f>Sheet2!AX47</f>
        <v>22</v>
      </c>
      <c r="E13" s="156"/>
      <c r="F13" s="97"/>
    </row>
    <row r="14" spans="1:6" s="4" customFormat="1" ht="35.25" customHeight="1">
      <c r="A14" s="77"/>
      <c r="B14" s="102" t="s">
        <v>417</v>
      </c>
      <c r="C14" s="95">
        <f t="shared" si="0"/>
        <v>3</v>
      </c>
      <c r="D14" s="156">
        <f>Sheet2!AY47</f>
        <v>3</v>
      </c>
      <c r="E14" s="156"/>
      <c r="F14" s="97"/>
    </row>
    <row r="15" spans="1:6" s="92" customFormat="1" ht="16.5">
      <c r="A15" s="16" t="s">
        <v>477</v>
      </c>
      <c r="B15" s="13" t="s">
        <v>28</v>
      </c>
      <c r="C15" s="95">
        <f t="shared" si="0"/>
        <v>72</v>
      </c>
      <c r="D15" s="95">
        <f>Sheet2!EA47</f>
        <v>72</v>
      </c>
      <c r="E15" s="95"/>
      <c r="F15" s="80"/>
    </row>
    <row r="16" spans="1:6" s="92" customFormat="1" ht="16.5">
      <c r="A16" s="16"/>
      <c r="B16" s="108" t="s">
        <v>214</v>
      </c>
      <c r="C16" s="95">
        <f t="shared" si="0"/>
        <v>0</v>
      </c>
      <c r="D16" s="95"/>
      <c r="E16" s="95"/>
      <c r="F16" s="80"/>
    </row>
    <row r="17" spans="1:6" s="92" customFormat="1" ht="30">
      <c r="A17" s="13"/>
      <c r="B17" s="101" t="s">
        <v>208</v>
      </c>
      <c r="C17" s="95">
        <f t="shared" si="0"/>
        <v>70</v>
      </c>
      <c r="D17" s="154">
        <f>Sheet2!BH47</f>
        <v>70</v>
      </c>
      <c r="E17" s="154"/>
      <c r="F17" s="94"/>
    </row>
    <row r="18" spans="1:6" s="92" customFormat="1" ht="30">
      <c r="A18" s="13"/>
      <c r="B18" s="101" t="s">
        <v>207</v>
      </c>
      <c r="C18" s="95">
        <f t="shared" si="0"/>
        <v>2</v>
      </c>
      <c r="D18" s="154">
        <f>Sheet2!BI47</f>
        <v>2</v>
      </c>
      <c r="E18" s="154"/>
      <c r="F18" s="94"/>
    </row>
    <row r="19" spans="1:6" s="92" customFormat="1" ht="30" hidden="1">
      <c r="A19" s="13"/>
      <c r="B19" s="101" t="s">
        <v>209</v>
      </c>
      <c r="C19" s="95">
        <f t="shared" si="0"/>
        <v>0</v>
      </c>
      <c r="D19" s="154">
        <f>Sheet2!BJ47</f>
        <v>0</v>
      </c>
      <c r="E19" s="154"/>
      <c r="F19" s="94"/>
    </row>
    <row r="20" spans="1:6" s="92" customFormat="1" ht="30" hidden="1">
      <c r="A20" s="13"/>
      <c r="B20" s="101" t="s">
        <v>210</v>
      </c>
      <c r="C20" s="95">
        <f t="shared" si="0"/>
        <v>0</v>
      </c>
      <c r="D20" s="154">
        <f>Sheet2!BK47</f>
        <v>0</v>
      </c>
      <c r="E20" s="154"/>
      <c r="F20" s="94"/>
    </row>
    <row r="21" spans="1:6" s="92" customFormat="1" ht="30" hidden="1">
      <c r="A21" s="13"/>
      <c r="B21" s="101" t="s">
        <v>211</v>
      </c>
      <c r="C21" s="95">
        <f t="shared" si="0"/>
        <v>0</v>
      </c>
      <c r="D21" s="154">
        <f>Sheet2!BL47</f>
        <v>0</v>
      </c>
      <c r="E21" s="154"/>
      <c r="F21" s="94"/>
    </row>
    <row r="22" spans="1:6" s="92" customFormat="1" ht="30" hidden="1">
      <c r="A22" s="13"/>
      <c r="B22" s="101" t="s">
        <v>222</v>
      </c>
      <c r="C22" s="95">
        <f t="shared" si="0"/>
        <v>0</v>
      </c>
      <c r="D22" s="154"/>
      <c r="E22" s="154"/>
      <c r="F22" s="94"/>
    </row>
    <row r="23" spans="1:6" s="378" customFormat="1" ht="16.5">
      <c r="A23" s="376">
        <v>2</v>
      </c>
      <c r="B23" s="379" t="s">
        <v>224</v>
      </c>
      <c r="C23" s="380">
        <f>C24+C27</f>
        <v>961</v>
      </c>
      <c r="D23" s="380">
        <f>D24+D27</f>
        <v>0</v>
      </c>
      <c r="E23" s="380">
        <f>E24+E27</f>
        <v>961</v>
      </c>
      <c r="F23" s="377"/>
    </row>
    <row r="24" spans="1:6" s="4" customFormat="1" ht="24.75" customHeight="1">
      <c r="A24" s="16" t="s">
        <v>476</v>
      </c>
      <c r="B24" s="13" t="s">
        <v>27</v>
      </c>
      <c r="C24" s="95">
        <f>SUM(D24:E24)</f>
        <v>0</v>
      </c>
      <c r="D24" s="95"/>
      <c r="E24" s="95"/>
      <c r="F24" s="96"/>
    </row>
    <row r="25" spans="1:6" s="4" customFormat="1" ht="35.25" customHeight="1">
      <c r="A25" s="77"/>
      <c r="B25" s="102" t="s">
        <v>248</v>
      </c>
      <c r="C25" s="95">
        <f aca="true" t="shared" si="1" ref="C25:C34">SUM(D25:E25)</f>
        <v>0</v>
      </c>
      <c r="D25" s="156"/>
      <c r="E25" s="156"/>
      <c r="F25" s="97"/>
    </row>
    <row r="26" spans="1:6" s="4" customFormat="1" ht="35.25" customHeight="1">
      <c r="A26" s="77"/>
      <c r="B26" s="102" t="s">
        <v>417</v>
      </c>
      <c r="C26" s="95">
        <f t="shared" si="1"/>
        <v>0</v>
      </c>
      <c r="D26" s="156"/>
      <c r="E26" s="156"/>
      <c r="F26" s="97"/>
    </row>
    <row r="27" spans="1:6" s="92" customFormat="1" ht="16.5">
      <c r="A27" s="16" t="s">
        <v>477</v>
      </c>
      <c r="B27" s="13" t="s">
        <v>28</v>
      </c>
      <c r="C27" s="95">
        <f t="shared" si="1"/>
        <v>961</v>
      </c>
      <c r="D27" s="95"/>
      <c r="E27" s="95">
        <f>Sheet2!CJ53</f>
        <v>961</v>
      </c>
      <c r="F27" s="80"/>
    </row>
    <row r="28" spans="1:6" s="92" customFormat="1" ht="16.5">
      <c r="A28" s="16"/>
      <c r="B28" s="108" t="s">
        <v>214</v>
      </c>
      <c r="C28" s="95">
        <f t="shared" si="1"/>
        <v>0</v>
      </c>
      <c r="D28" s="95"/>
      <c r="E28" s="95"/>
      <c r="F28" s="80"/>
    </row>
    <row r="29" spans="1:6" s="92" customFormat="1" ht="30" hidden="1">
      <c r="A29" s="13"/>
      <c r="B29" s="101" t="s">
        <v>208</v>
      </c>
      <c r="C29" s="95">
        <f t="shared" si="1"/>
        <v>0</v>
      </c>
      <c r="D29" s="154"/>
      <c r="E29" s="154"/>
      <c r="F29" s="94"/>
    </row>
    <row r="30" spans="1:6" s="92" customFormat="1" ht="30" hidden="1">
      <c r="A30" s="13"/>
      <c r="B30" s="101" t="s">
        <v>207</v>
      </c>
      <c r="C30" s="95">
        <f t="shared" si="1"/>
        <v>0</v>
      </c>
      <c r="D30" s="154"/>
      <c r="E30" s="154"/>
      <c r="F30" s="94"/>
    </row>
    <row r="31" spans="1:6" s="92" customFormat="1" ht="30" hidden="1">
      <c r="A31" s="13"/>
      <c r="B31" s="101" t="s">
        <v>209</v>
      </c>
      <c r="C31" s="95">
        <f t="shared" si="1"/>
        <v>0</v>
      </c>
      <c r="D31" s="154"/>
      <c r="E31" s="154"/>
      <c r="F31" s="94"/>
    </row>
    <row r="32" spans="1:6" s="92" customFormat="1" ht="30" hidden="1">
      <c r="A32" s="13"/>
      <c r="B32" s="101" t="s">
        <v>210</v>
      </c>
      <c r="C32" s="95">
        <f t="shared" si="1"/>
        <v>0</v>
      </c>
      <c r="D32" s="154"/>
      <c r="E32" s="154"/>
      <c r="F32" s="94"/>
    </row>
    <row r="33" spans="1:6" s="92" customFormat="1" ht="30" hidden="1">
      <c r="A33" s="13"/>
      <c r="B33" s="101" t="s">
        <v>211</v>
      </c>
      <c r="C33" s="95">
        <f t="shared" si="1"/>
        <v>0</v>
      </c>
      <c r="D33" s="154"/>
      <c r="E33" s="154"/>
      <c r="F33" s="94"/>
    </row>
    <row r="34" spans="1:6" s="92" customFormat="1" ht="30">
      <c r="A34" s="13"/>
      <c r="B34" s="101" t="s">
        <v>222</v>
      </c>
      <c r="C34" s="95">
        <f t="shared" si="1"/>
        <v>961</v>
      </c>
      <c r="D34" s="154"/>
      <c r="E34" s="154">
        <f>Sheet2!BX53</f>
        <v>961</v>
      </c>
      <c r="F34" s="94"/>
    </row>
    <row r="35" spans="1:6" s="92" customFormat="1" ht="15.75">
      <c r="A35" s="98"/>
      <c r="B35" s="99"/>
      <c r="C35" s="100"/>
      <c r="D35" s="98"/>
      <c r="E35" s="98"/>
      <c r="F35" s="98"/>
    </row>
    <row r="36" s="14" customFormat="1" ht="12.75"/>
  </sheetData>
  <sheetProtection/>
  <mergeCells count="11">
    <mergeCell ref="A7:A8"/>
    <mergeCell ref="B7:B8"/>
    <mergeCell ref="C7:C8"/>
    <mergeCell ref="D7:D8"/>
    <mergeCell ref="A1:F1"/>
    <mergeCell ref="A2:F2"/>
    <mergeCell ref="A5:F5"/>
    <mergeCell ref="A3:B3"/>
    <mergeCell ref="A4:B4"/>
    <mergeCell ref="E7:E8"/>
    <mergeCell ref="F7:F8"/>
  </mergeCells>
  <printOptions/>
  <pageMargins left="0.51" right="0.46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1">
      <selection activeCell="D14" sqref="D14"/>
    </sheetView>
  </sheetViews>
  <sheetFormatPr defaultColWidth="9.00390625" defaultRowHeight="15.75"/>
  <cols>
    <col min="1" max="1" width="5.125" style="15" customWidth="1"/>
    <col min="2" max="2" width="36.00390625" style="15" customWidth="1"/>
    <col min="3" max="3" width="10.75390625" style="15" customWidth="1"/>
    <col min="4" max="4" width="11.375" style="15" customWidth="1"/>
    <col min="5" max="5" width="24.37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215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4" t="str">
        <f>'Mã số'!C38</f>
        <v>1081039</v>
      </c>
      <c r="D3" s="72"/>
      <c r="E3" s="72"/>
    </row>
    <row r="4" spans="1:5" s="4" customFormat="1" ht="15" customHeight="1">
      <c r="A4" s="410" t="s">
        <v>184</v>
      </c>
      <c r="B4" s="410"/>
      <c r="C4" s="74" t="str">
        <f>'Mã số'!D38</f>
        <v>2761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188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124"/>
      <c r="D9" s="124"/>
      <c r="E9" s="10"/>
    </row>
    <row r="10" spans="1:5" s="11" customFormat="1" ht="18" customHeight="1">
      <c r="A10" s="87" t="s">
        <v>20</v>
      </c>
      <c r="B10" s="88" t="s">
        <v>236</v>
      </c>
      <c r="C10" s="117">
        <f>C11+C14</f>
        <v>1281</v>
      </c>
      <c r="D10" s="117">
        <f>D11+D14</f>
        <v>1281</v>
      </c>
      <c r="E10" s="13"/>
    </row>
    <row r="11" spans="1:5" s="3" customFormat="1" ht="24.75" customHeight="1">
      <c r="A11" s="16">
        <v>1</v>
      </c>
      <c r="B11" s="13" t="s">
        <v>27</v>
      </c>
      <c r="C11" s="118">
        <f>SUM(D11:D11)</f>
        <v>1281</v>
      </c>
      <c r="D11" s="118">
        <f>Sheet2!DZ48</f>
        <v>1281</v>
      </c>
      <c r="E11" s="18"/>
    </row>
    <row r="12" spans="1:5" s="3" customFormat="1" ht="35.25" customHeight="1">
      <c r="A12" s="77"/>
      <c r="B12" s="102" t="s">
        <v>248</v>
      </c>
      <c r="C12" s="149">
        <f>SUM(D12:D12)</f>
        <v>10</v>
      </c>
      <c r="D12" s="157">
        <f>Sheet2!AX48</f>
        <v>10</v>
      </c>
      <c r="E12" s="79"/>
    </row>
    <row r="13" spans="1:5" s="3" customFormat="1" ht="35.25" customHeight="1">
      <c r="A13" s="77"/>
      <c r="B13" s="102" t="s">
        <v>417</v>
      </c>
      <c r="C13" s="126">
        <f>D13</f>
        <v>1</v>
      </c>
      <c r="D13" s="157">
        <f>Sheet2!AY48</f>
        <v>1</v>
      </c>
      <c r="E13" s="79"/>
    </row>
    <row r="14" spans="1:5" s="14" customFormat="1" ht="16.5">
      <c r="A14" s="16">
        <v>2</v>
      </c>
      <c r="B14" s="13" t="s">
        <v>28</v>
      </c>
      <c r="C14" s="118">
        <f aca="true" t="shared" si="0" ref="C14:C22">SUM(D14:D14)</f>
        <v>0</v>
      </c>
      <c r="D14" s="118"/>
      <c r="E14" s="80"/>
    </row>
    <row r="15" spans="1:5" s="14" customFormat="1" ht="16.5" hidden="1">
      <c r="A15" s="16"/>
      <c r="B15" s="13" t="s">
        <v>214</v>
      </c>
      <c r="C15" s="118">
        <f t="shared" si="0"/>
        <v>0</v>
      </c>
      <c r="D15" s="118"/>
      <c r="E15" s="80"/>
    </row>
    <row r="16" spans="1:5" s="14" customFormat="1" ht="26.25" hidden="1">
      <c r="A16" s="81"/>
      <c r="B16" s="82" t="s">
        <v>208</v>
      </c>
      <c r="C16" s="118">
        <f t="shared" si="0"/>
        <v>0</v>
      </c>
      <c r="D16" s="118"/>
      <c r="E16" s="81"/>
    </row>
    <row r="17" spans="1:5" s="14" customFormat="1" ht="26.25" hidden="1">
      <c r="A17" s="81"/>
      <c r="B17" s="82" t="s">
        <v>207</v>
      </c>
      <c r="C17" s="118">
        <f t="shared" si="0"/>
        <v>0</v>
      </c>
      <c r="D17" s="118"/>
      <c r="E17" s="81"/>
    </row>
    <row r="18" spans="1:5" s="14" customFormat="1" ht="26.25" hidden="1">
      <c r="A18" s="81"/>
      <c r="B18" s="82" t="s">
        <v>209</v>
      </c>
      <c r="C18" s="118">
        <f t="shared" si="0"/>
        <v>0</v>
      </c>
      <c r="D18" s="118"/>
      <c r="E18" s="81"/>
    </row>
    <row r="19" spans="1:5" s="14" customFormat="1" ht="16.5" hidden="1">
      <c r="A19" s="81"/>
      <c r="B19" s="82" t="s">
        <v>210</v>
      </c>
      <c r="C19" s="118">
        <f t="shared" si="0"/>
        <v>0</v>
      </c>
      <c r="D19" s="118"/>
      <c r="E19" s="81"/>
    </row>
    <row r="20" spans="1:5" s="14" customFormat="1" ht="26.25" hidden="1">
      <c r="A20" s="81"/>
      <c r="B20" s="82" t="s">
        <v>211</v>
      </c>
      <c r="C20" s="118">
        <f t="shared" si="0"/>
        <v>0</v>
      </c>
      <c r="D20" s="118"/>
      <c r="E20" s="81"/>
    </row>
    <row r="21" spans="1:5" s="14" customFormat="1" ht="30" hidden="1">
      <c r="A21" s="81"/>
      <c r="B21" s="101" t="s">
        <v>222</v>
      </c>
      <c r="C21" s="118">
        <f t="shared" si="0"/>
        <v>0</v>
      </c>
      <c r="D21" s="118"/>
      <c r="E21" s="81"/>
    </row>
    <row r="22" spans="1:5" s="14" customFormat="1" ht="16.5">
      <c r="A22" s="83"/>
      <c r="B22" s="84"/>
      <c r="C22" s="121">
        <f t="shared" si="0"/>
        <v>0</v>
      </c>
      <c r="D22" s="121"/>
      <c r="E22" s="83"/>
    </row>
    <row r="23" s="14" customFormat="1" ht="12.75"/>
  </sheetData>
  <sheetProtection/>
  <mergeCells count="10">
    <mergeCell ref="D7:D8"/>
    <mergeCell ref="E7:E8"/>
    <mergeCell ref="A1:E1"/>
    <mergeCell ref="A2:E2"/>
    <mergeCell ref="A3:B3"/>
    <mergeCell ref="A4:B4"/>
    <mergeCell ref="A5:E5"/>
    <mergeCell ref="A7:A8"/>
    <mergeCell ref="B7:B8"/>
    <mergeCell ref="C7:C8"/>
  </mergeCells>
  <printOptions/>
  <pageMargins left="0.75" right="0.5" top="1" bottom="1" header="0.5" footer="0.5"/>
  <pageSetup horizontalDpi="600" verticalDpi="600" orientation="portrait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E14"/>
  <sheetViews>
    <sheetView zoomScalePageLayoutView="0" workbookViewId="0" topLeftCell="A1">
      <selection activeCell="G11" sqref="G11"/>
    </sheetView>
  </sheetViews>
  <sheetFormatPr defaultColWidth="9.00390625" defaultRowHeight="15.75"/>
  <cols>
    <col min="1" max="1" width="5.125" style="15" customWidth="1"/>
    <col min="2" max="2" width="36.00390625" style="15" customWidth="1"/>
    <col min="3" max="3" width="10.625" style="15" customWidth="1"/>
    <col min="4" max="4" width="11.75390625" style="15" customWidth="1"/>
    <col min="5" max="5" width="19.1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216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4" t="str">
        <f>'Phân bổ'!AQ42</f>
        <v>1034193</v>
      </c>
      <c r="D3" s="72"/>
      <c r="E3" s="72"/>
    </row>
    <row r="4" spans="1:5" s="4" customFormat="1" ht="15" customHeight="1">
      <c r="A4" s="410" t="s">
        <v>184</v>
      </c>
      <c r="B4" s="410"/>
      <c r="C4" s="74" t="str">
        <f>'Phân bổ'!AQ43</f>
        <v>2761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188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0</v>
      </c>
      <c r="D10" s="12">
        <f>D11+D14</f>
        <v>0</v>
      </c>
      <c r="E10" s="13"/>
    </row>
    <row r="11" spans="1:5" s="3" customFormat="1" ht="24.75" customHeight="1">
      <c r="A11" s="16">
        <v>1</v>
      </c>
      <c r="B11" s="13" t="s">
        <v>27</v>
      </c>
      <c r="C11" s="17">
        <f>D11</f>
        <v>0</v>
      </c>
      <c r="D11" s="17">
        <f>Sheet2!DW49</f>
        <v>0</v>
      </c>
      <c r="E11" s="18"/>
    </row>
    <row r="12" spans="1:5" s="3" customFormat="1" ht="29.25" customHeight="1">
      <c r="A12" s="77"/>
      <c r="B12" s="102" t="s">
        <v>248</v>
      </c>
      <c r="C12" s="147">
        <f>D12</f>
        <v>0</v>
      </c>
      <c r="D12" s="147">
        <f>Sheet2!BM49</f>
        <v>0</v>
      </c>
      <c r="E12" s="79"/>
    </row>
    <row r="13" spans="1:5" s="3" customFormat="1" ht="29.25" customHeight="1">
      <c r="A13" s="77"/>
      <c r="B13" s="102" t="s">
        <v>417</v>
      </c>
      <c r="C13" s="126">
        <f>D13</f>
        <v>0</v>
      </c>
      <c r="D13" s="147">
        <f>Sheet2!BN49</f>
        <v>0</v>
      </c>
      <c r="E13" s="79"/>
    </row>
    <row r="14" spans="1:5" s="14" customFormat="1" ht="16.5">
      <c r="A14" s="122">
        <v>2</v>
      </c>
      <c r="B14" s="113" t="s">
        <v>28</v>
      </c>
      <c r="C14" s="19">
        <f>SUM(D14:D14)</f>
        <v>0</v>
      </c>
      <c r="D14" s="19"/>
      <c r="E14" s="123"/>
    </row>
    <row r="15" s="14" customFormat="1" ht="12.75"/>
  </sheetData>
  <sheetProtection/>
  <mergeCells count="10">
    <mergeCell ref="A1:E1"/>
    <mergeCell ref="A2:E2"/>
    <mergeCell ref="A3:B3"/>
    <mergeCell ref="A4:B4"/>
    <mergeCell ref="A5:E5"/>
    <mergeCell ref="A7:A8"/>
    <mergeCell ref="B7:B8"/>
    <mergeCell ref="C7:C8"/>
    <mergeCell ref="D7:D8"/>
    <mergeCell ref="E7:E8"/>
  </mergeCells>
  <printOptions/>
  <pageMargins left="0.75" right="0.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4"/>
  <sheetViews>
    <sheetView zoomScalePageLayoutView="0" workbookViewId="0" topLeftCell="A4">
      <selection activeCell="D21" sqref="D21"/>
    </sheetView>
  </sheetViews>
  <sheetFormatPr defaultColWidth="9.00390625" defaultRowHeight="15.75"/>
  <cols>
    <col min="1" max="1" width="5.125" style="15" customWidth="1"/>
    <col min="2" max="2" width="36.125" style="15" customWidth="1"/>
    <col min="3" max="3" width="10.625" style="15" customWidth="1"/>
    <col min="4" max="4" width="11.50390625" style="15" customWidth="1"/>
    <col min="5" max="5" width="22.753906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13" t="s">
        <v>422</v>
      </c>
      <c r="B2" s="413"/>
      <c r="C2" s="413"/>
      <c r="D2" s="413"/>
      <c r="E2" s="413"/>
    </row>
    <row r="3" spans="1:5" s="4" customFormat="1" ht="16.5" customHeight="1">
      <c r="A3" s="414" t="s">
        <v>183</v>
      </c>
      <c r="B3" s="414"/>
      <c r="C3" s="186" t="str">
        <f>'Mã số'!C40</f>
        <v>1129052</v>
      </c>
      <c r="D3" s="187"/>
      <c r="E3" s="187"/>
    </row>
    <row r="4" spans="1:5" s="4" customFormat="1" ht="15" customHeight="1">
      <c r="A4" s="414" t="s">
        <v>184</v>
      </c>
      <c r="B4" s="414"/>
      <c r="C4" s="188" t="str">
        <f>'Mã số'!D40</f>
        <v>2761</v>
      </c>
      <c r="D4" s="187"/>
      <c r="E4" s="187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188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2645</v>
      </c>
      <c r="D10" s="12">
        <f>D11+D14</f>
        <v>2645</v>
      </c>
      <c r="E10" s="13"/>
    </row>
    <row r="11" spans="1:5" s="3" customFormat="1" ht="19.5" customHeight="1">
      <c r="A11" s="16">
        <v>1</v>
      </c>
      <c r="B11" s="13" t="s">
        <v>27</v>
      </c>
      <c r="C11" s="17">
        <f>D11</f>
        <v>2380</v>
      </c>
      <c r="D11" s="17">
        <f>Sheet2!DZ49</f>
        <v>2380</v>
      </c>
      <c r="E11" s="18"/>
    </row>
    <row r="12" spans="1:5" s="3" customFormat="1" ht="29.25" customHeight="1">
      <c r="A12" s="77"/>
      <c r="B12" s="102" t="s">
        <v>248</v>
      </c>
      <c r="C12" s="147">
        <f>D12</f>
        <v>55</v>
      </c>
      <c r="D12" s="147">
        <f>Sheet2!AX49</f>
        <v>55</v>
      </c>
      <c r="E12" s="79"/>
    </row>
    <row r="13" spans="1:5" s="3" customFormat="1" ht="29.25" customHeight="1">
      <c r="A13" s="16"/>
      <c r="B13" s="102" t="s">
        <v>417</v>
      </c>
      <c r="C13" s="146">
        <f>D13</f>
        <v>6</v>
      </c>
      <c r="D13" s="145">
        <f>Sheet2!AY49</f>
        <v>6</v>
      </c>
      <c r="E13" s="18"/>
    </row>
    <row r="14" spans="1:5" s="3" customFormat="1" ht="19.5" customHeight="1">
      <c r="A14" s="16">
        <v>2</v>
      </c>
      <c r="B14" s="13" t="s">
        <v>28</v>
      </c>
      <c r="C14" s="17">
        <f>SUM(D14:D14)</f>
        <v>265</v>
      </c>
      <c r="D14" s="17">
        <f>Sheet2!EA49</f>
        <v>265</v>
      </c>
      <c r="E14" s="80"/>
    </row>
    <row r="15" spans="1:5" s="92" customFormat="1" ht="16.5">
      <c r="A15" s="16"/>
      <c r="B15" s="108" t="s">
        <v>214</v>
      </c>
      <c r="C15" s="95">
        <f aca="true" t="shared" si="0" ref="C15:C21">SUM(D15:D15)</f>
        <v>0</v>
      </c>
      <c r="D15" s="95"/>
      <c r="E15" s="80"/>
    </row>
    <row r="16" spans="1:5" s="92" customFormat="1" ht="30">
      <c r="A16" s="13"/>
      <c r="B16" s="101" t="s">
        <v>208</v>
      </c>
      <c r="C16" s="153">
        <f t="shared" si="0"/>
        <v>9</v>
      </c>
      <c r="D16" s="154">
        <f>Sheet2!BH49</f>
        <v>9</v>
      </c>
      <c r="E16" s="94"/>
    </row>
    <row r="17" spans="1:5" s="92" customFormat="1" ht="30">
      <c r="A17" s="13"/>
      <c r="B17" s="101" t="s">
        <v>207</v>
      </c>
      <c r="C17" s="153">
        <f t="shared" si="0"/>
        <v>0</v>
      </c>
      <c r="D17" s="154">
        <f>Sheet2!BI49</f>
        <v>0</v>
      </c>
      <c r="E17" s="94"/>
    </row>
    <row r="18" spans="1:5" s="92" customFormat="1" ht="30" hidden="1">
      <c r="A18" s="13"/>
      <c r="B18" s="101" t="s">
        <v>209</v>
      </c>
      <c r="C18" s="153">
        <f t="shared" si="0"/>
        <v>0</v>
      </c>
      <c r="D18" s="154"/>
      <c r="E18" s="94"/>
    </row>
    <row r="19" spans="1:5" s="92" customFormat="1" ht="30" hidden="1">
      <c r="A19" s="13"/>
      <c r="B19" s="101" t="s">
        <v>210</v>
      </c>
      <c r="C19" s="153">
        <f t="shared" si="0"/>
        <v>0</v>
      </c>
      <c r="D19" s="154"/>
      <c r="E19" s="94"/>
    </row>
    <row r="20" spans="1:5" s="92" customFormat="1" ht="30">
      <c r="A20" s="13"/>
      <c r="B20" s="101" t="s">
        <v>211</v>
      </c>
      <c r="C20" s="153">
        <f t="shared" si="0"/>
        <v>256</v>
      </c>
      <c r="D20" s="154">
        <f>Sheet2!BL49</f>
        <v>256</v>
      </c>
      <c r="E20" s="94"/>
    </row>
    <row r="21" spans="1:5" s="92" customFormat="1" ht="15.75">
      <c r="A21" s="98"/>
      <c r="B21" s="99"/>
      <c r="C21" s="100">
        <f t="shared" si="0"/>
        <v>0</v>
      </c>
      <c r="D21" s="98"/>
      <c r="E21" s="98"/>
    </row>
    <row r="22" spans="1:5" s="14" customFormat="1" ht="12.75">
      <c r="A22" s="15"/>
      <c r="B22" s="15"/>
      <c r="C22" s="15"/>
      <c r="D22" s="15"/>
      <c r="E22" s="15"/>
    </row>
    <row r="23" spans="1:5" s="14" customFormat="1" ht="12.75">
      <c r="A23" s="15"/>
      <c r="B23" s="15"/>
      <c r="C23" s="15"/>
      <c r="D23" s="15"/>
      <c r="E23" s="15"/>
    </row>
    <row r="24" spans="1:5" s="14" customFormat="1" ht="12.75">
      <c r="A24" s="15"/>
      <c r="B24" s="15"/>
      <c r="C24" s="15"/>
      <c r="D24" s="15"/>
      <c r="E24" s="15"/>
    </row>
  </sheetData>
  <sheetProtection/>
  <mergeCells count="10">
    <mergeCell ref="A1:E1"/>
    <mergeCell ref="A2:E2"/>
    <mergeCell ref="A3:B3"/>
    <mergeCell ref="A4:B4"/>
    <mergeCell ref="A5:E5"/>
    <mergeCell ref="A7:A8"/>
    <mergeCell ref="B7:B8"/>
    <mergeCell ref="C7:C8"/>
    <mergeCell ref="D7:D8"/>
    <mergeCell ref="E7:E8"/>
  </mergeCells>
  <printOptions/>
  <pageMargins left="0.75" right="0.5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13">
      <selection activeCell="D13" sqref="D13"/>
    </sheetView>
  </sheetViews>
  <sheetFormatPr defaultColWidth="9.00390625" defaultRowHeight="15.75"/>
  <cols>
    <col min="1" max="1" width="5.125" style="15" customWidth="1"/>
    <col min="2" max="2" width="36.375" style="15" customWidth="1"/>
    <col min="3" max="3" width="10.625" style="15" customWidth="1"/>
    <col min="4" max="4" width="11.75390625" style="15" customWidth="1"/>
    <col min="5" max="5" width="26.503906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31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bổ'!E42</f>
        <v>1031709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bổ'!E43</f>
        <v>2763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10">
        <f>D10</f>
        <v>10649</v>
      </c>
      <c r="D10" s="110">
        <f>D11+D14</f>
        <v>10649</v>
      </c>
      <c r="E10" s="13"/>
    </row>
    <row r="11" spans="1:5" s="3" customFormat="1" ht="19.5" customHeight="1">
      <c r="A11" s="16">
        <v>1</v>
      </c>
      <c r="B11" s="13" t="s">
        <v>27</v>
      </c>
      <c r="C11" s="111">
        <f>D11</f>
        <v>6366</v>
      </c>
      <c r="D11" s="111">
        <f>Sheet2!DZ14</f>
        <v>6366</v>
      </c>
      <c r="E11" s="18"/>
    </row>
    <row r="12" spans="1:5" s="3" customFormat="1" ht="34.5" customHeight="1">
      <c r="A12" s="77"/>
      <c r="B12" s="102" t="s">
        <v>248</v>
      </c>
      <c r="C12" s="126">
        <f>D12</f>
        <v>145</v>
      </c>
      <c r="D12" s="126">
        <f>Sheet2!AX14</f>
        <v>145</v>
      </c>
      <c r="E12" s="79"/>
    </row>
    <row r="13" spans="1:5" s="3" customFormat="1" ht="34.5" customHeight="1">
      <c r="A13" s="77"/>
      <c r="B13" s="102" t="s">
        <v>417</v>
      </c>
      <c r="C13" s="126">
        <f>D13</f>
        <v>17</v>
      </c>
      <c r="D13" s="126">
        <f>Sheet2!AY14</f>
        <v>17</v>
      </c>
      <c r="E13" s="79"/>
    </row>
    <row r="14" spans="1:5" s="14" customFormat="1" ht="16.5">
      <c r="A14" s="16">
        <v>2</v>
      </c>
      <c r="B14" s="13" t="s">
        <v>28</v>
      </c>
      <c r="C14" s="111">
        <f>SUM(D14:D14)</f>
        <v>4283</v>
      </c>
      <c r="D14" s="111">
        <f>Sheet2!EA14</f>
        <v>4283</v>
      </c>
      <c r="E14" s="80"/>
    </row>
    <row r="15" spans="1:5" s="14" customFormat="1" ht="16.5">
      <c r="A15" s="16"/>
      <c r="B15" s="108" t="s">
        <v>214</v>
      </c>
      <c r="C15" s="111">
        <f aca="true" t="shared" si="0" ref="C15:C22">SUM(D15:D15)</f>
        <v>0</v>
      </c>
      <c r="D15" s="111"/>
      <c r="E15" s="80"/>
    </row>
    <row r="16" spans="1:5" s="14" customFormat="1" ht="30">
      <c r="A16" s="13"/>
      <c r="B16" s="101" t="s">
        <v>208</v>
      </c>
      <c r="C16" s="146">
        <f t="shared" si="0"/>
        <v>91</v>
      </c>
      <c r="D16" s="146">
        <f>Sheet2!BH14</f>
        <v>91</v>
      </c>
      <c r="E16" s="81"/>
    </row>
    <row r="17" spans="1:5" s="14" customFormat="1" ht="30">
      <c r="A17" s="13"/>
      <c r="B17" s="101" t="s">
        <v>207</v>
      </c>
      <c r="C17" s="146">
        <f t="shared" si="0"/>
        <v>387</v>
      </c>
      <c r="D17" s="146">
        <f>Sheet2!BI14</f>
        <v>387</v>
      </c>
      <c r="E17" s="81"/>
    </row>
    <row r="18" spans="1:5" s="14" customFormat="1" ht="30">
      <c r="A18" s="13"/>
      <c r="B18" s="101" t="s">
        <v>209</v>
      </c>
      <c r="C18" s="146">
        <f t="shared" si="0"/>
        <v>1494</v>
      </c>
      <c r="D18" s="146">
        <f>Sheet2!BJ13</f>
        <v>1494</v>
      </c>
      <c r="E18" s="81"/>
    </row>
    <row r="19" spans="1:5" s="14" customFormat="1" ht="30">
      <c r="A19" s="13"/>
      <c r="B19" s="101" t="s">
        <v>210</v>
      </c>
      <c r="C19" s="146">
        <f t="shared" si="0"/>
        <v>0</v>
      </c>
      <c r="D19" s="146"/>
      <c r="E19" s="81"/>
    </row>
    <row r="20" spans="1:5" s="14" customFormat="1" ht="30">
      <c r="A20" s="13"/>
      <c r="B20" s="101" t="s">
        <v>211</v>
      </c>
      <c r="C20" s="146">
        <f t="shared" si="0"/>
        <v>12</v>
      </c>
      <c r="D20" s="146">
        <f>Sheet2!BL14</f>
        <v>12</v>
      </c>
      <c r="E20" s="81"/>
    </row>
    <row r="21" spans="1:5" s="14" customFormat="1" ht="16.5">
      <c r="A21" s="13"/>
      <c r="B21" s="101" t="s">
        <v>238</v>
      </c>
      <c r="C21" s="111">
        <f t="shared" si="0"/>
        <v>0</v>
      </c>
      <c r="D21" s="111"/>
      <c r="E21" s="125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E7:E8"/>
    <mergeCell ref="A1:E1"/>
    <mergeCell ref="A2:E2"/>
    <mergeCell ref="A5:E5"/>
    <mergeCell ref="A7:A8"/>
    <mergeCell ref="B7:B8"/>
    <mergeCell ref="C7:C8"/>
    <mergeCell ref="A3:B3"/>
    <mergeCell ref="A4:B4"/>
    <mergeCell ref="D7:D8"/>
  </mergeCells>
  <printOptions/>
  <pageMargins left="0.61" right="0.38" top="0.75" bottom="0.75" header="0.3" footer="0.3"/>
  <pageSetup horizontalDpi="600" verticalDpi="600" orientation="portrait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zoomScalePageLayoutView="0" workbookViewId="0" topLeftCell="A7">
      <selection activeCell="D15" sqref="D15:D22"/>
    </sheetView>
  </sheetViews>
  <sheetFormatPr defaultColWidth="9.00390625" defaultRowHeight="15.75"/>
  <cols>
    <col min="1" max="1" width="5.125" style="15" customWidth="1"/>
    <col min="2" max="2" width="36.375" style="15" customWidth="1"/>
    <col min="3" max="4" width="10.625" style="15" customWidth="1"/>
    <col min="5" max="5" width="26.125" style="15" customWidth="1"/>
    <col min="6" max="7" width="9.00390625" style="15" customWidth="1"/>
    <col min="8" max="8" width="10.375" style="15" bestFit="1" customWidth="1"/>
    <col min="9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13" t="s">
        <v>61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201" t="str">
        <f>'Phân bổ'!AS42</f>
        <v>1032028</v>
      </c>
      <c r="D3" s="72"/>
      <c r="E3" s="72"/>
    </row>
    <row r="4" spans="1:5" s="4" customFormat="1" ht="15" customHeight="1">
      <c r="A4" s="410" t="s">
        <v>184</v>
      </c>
      <c r="B4" s="410"/>
      <c r="C4" s="201" t="str">
        <f>'Phân bổ'!AS43</f>
        <v>2761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221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115"/>
      <c r="D9" s="115"/>
      <c r="E9" s="116"/>
    </row>
    <row r="10" spans="1:5" s="11" customFormat="1" ht="18" customHeight="1">
      <c r="A10" s="87" t="s">
        <v>20</v>
      </c>
      <c r="B10" s="88" t="s">
        <v>237</v>
      </c>
      <c r="C10" s="117">
        <f aca="true" t="shared" si="0" ref="C10:C23">SUM(D10:D10)</f>
        <v>27152</v>
      </c>
      <c r="D10" s="117">
        <f>D11+D13</f>
        <v>27152</v>
      </c>
      <c r="E10" s="118"/>
    </row>
    <row r="11" spans="1:8" s="3" customFormat="1" ht="24.75" customHeight="1">
      <c r="A11" s="16">
        <v>1</v>
      </c>
      <c r="B11" s="13" t="s">
        <v>27</v>
      </c>
      <c r="C11" s="118">
        <f t="shared" si="0"/>
        <v>23873</v>
      </c>
      <c r="D11" s="118">
        <f>Sheet2!DZ52</f>
        <v>23873</v>
      </c>
      <c r="E11" s="118"/>
      <c r="H11" s="180"/>
    </row>
    <row r="12" spans="1:5" s="3" customFormat="1" ht="29.25" customHeight="1">
      <c r="A12" s="77"/>
      <c r="B12" s="102" t="s">
        <v>248</v>
      </c>
      <c r="C12" s="149">
        <f t="shared" si="0"/>
        <v>410</v>
      </c>
      <c r="D12" s="157">
        <f>Sheet2!AX52</f>
        <v>410</v>
      </c>
      <c r="E12" s="119"/>
    </row>
    <row r="13" spans="1:5" s="14" customFormat="1" ht="16.5">
      <c r="A13" s="16">
        <v>2</v>
      </c>
      <c r="B13" s="13" t="s">
        <v>28</v>
      </c>
      <c r="C13" s="118">
        <f t="shared" si="0"/>
        <v>3279</v>
      </c>
      <c r="D13" s="118">
        <f>Sheet2!EA52</f>
        <v>3279</v>
      </c>
      <c r="E13" s="120"/>
    </row>
    <row r="14" spans="1:5" s="14" customFormat="1" ht="16.5">
      <c r="A14" s="107"/>
      <c r="B14" s="108" t="s">
        <v>214</v>
      </c>
      <c r="C14" s="117">
        <f t="shared" si="0"/>
        <v>0</v>
      </c>
      <c r="D14" s="118"/>
      <c r="E14" s="120"/>
    </row>
    <row r="15" spans="1:5" s="14" customFormat="1" ht="30">
      <c r="A15" s="108"/>
      <c r="B15" s="101" t="s">
        <v>208</v>
      </c>
      <c r="C15" s="149">
        <f t="shared" si="0"/>
        <v>195</v>
      </c>
      <c r="D15" s="149">
        <f>Sheet2!BH52</f>
        <v>195</v>
      </c>
      <c r="E15" s="118"/>
    </row>
    <row r="16" spans="1:5" s="14" customFormat="1" ht="30" hidden="1">
      <c r="A16" s="108"/>
      <c r="B16" s="101" t="s">
        <v>207</v>
      </c>
      <c r="C16" s="149">
        <f t="shared" si="0"/>
        <v>0</v>
      </c>
      <c r="D16" s="149"/>
      <c r="E16" s="118"/>
    </row>
    <row r="17" spans="1:5" s="14" customFormat="1" ht="30" hidden="1">
      <c r="A17" s="108"/>
      <c r="B17" s="101" t="s">
        <v>209</v>
      </c>
      <c r="C17" s="149">
        <f t="shared" si="0"/>
        <v>0</v>
      </c>
      <c r="D17" s="149"/>
      <c r="E17" s="118"/>
    </row>
    <row r="18" spans="1:5" s="14" customFormat="1" ht="30" hidden="1">
      <c r="A18" s="108"/>
      <c r="B18" s="101" t="s">
        <v>210</v>
      </c>
      <c r="C18" s="149">
        <f t="shared" si="0"/>
        <v>0</v>
      </c>
      <c r="D18" s="149"/>
      <c r="E18" s="118"/>
    </row>
    <row r="19" spans="1:5" s="14" customFormat="1" ht="30" hidden="1">
      <c r="A19" s="108"/>
      <c r="B19" s="101" t="s">
        <v>211</v>
      </c>
      <c r="C19" s="149">
        <f t="shared" si="0"/>
        <v>0</v>
      </c>
      <c r="D19" s="149"/>
      <c r="E19" s="118"/>
    </row>
    <row r="20" spans="1:5" s="14" customFormat="1" ht="30" hidden="1">
      <c r="A20" s="108"/>
      <c r="B20" s="101" t="s">
        <v>212</v>
      </c>
      <c r="C20" s="149">
        <f t="shared" si="0"/>
        <v>0</v>
      </c>
      <c r="D20" s="149"/>
      <c r="E20" s="118"/>
    </row>
    <row r="21" spans="1:5" s="14" customFormat="1" ht="30">
      <c r="A21" s="108"/>
      <c r="B21" s="101" t="s">
        <v>213</v>
      </c>
      <c r="C21" s="149">
        <f t="shared" si="0"/>
        <v>2784</v>
      </c>
      <c r="D21" s="149">
        <f>Sheet2!BN52</f>
        <v>2784</v>
      </c>
      <c r="E21" s="118"/>
    </row>
    <row r="22" spans="1:5" s="14" customFormat="1" ht="30">
      <c r="A22" s="177"/>
      <c r="B22" s="178" t="s">
        <v>222</v>
      </c>
      <c r="C22" s="157">
        <f t="shared" si="0"/>
        <v>300</v>
      </c>
      <c r="D22" s="157">
        <f>Sheet2!BX52</f>
        <v>300</v>
      </c>
      <c r="E22" s="119"/>
    </row>
    <row r="23" spans="1:5" ht="34.5" customHeight="1">
      <c r="A23" s="170"/>
      <c r="B23" s="109" t="s">
        <v>439</v>
      </c>
      <c r="C23" s="155">
        <f t="shared" si="0"/>
        <v>0</v>
      </c>
      <c r="D23" s="155">
        <f>Sheet2!BU53</f>
        <v>0</v>
      </c>
      <c r="E23" s="170"/>
    </row>
  </sheetData>
  <sheetProtection/>
  <mergeCells count="10">
    <mergeCell ref="B7:B8"/>
    <mergeCell ref="C7:C8"/>
    <mergeCell ref="D7:D8"/>
    <mergeCell ref="E7:E8"/>
    <mergeCell ref="A7:A8"/>
    <mergeCell ref="A1:E1"/>
    <mergeCell ref="A2:E2"/>
    <mergeCell ref="A5:E5"/>
    <mergeCell ref="A3:B3"/>
    <mergeCell ref="A4:B4"/>
  </mergeCells>
  <printOptions/>
  <pageMargins left="0.75" right="0.5" top="0.75" bottom="0.75" header="0.3" footer="0.3"/>
  <pageSetup horizontalDpi="600" verticalDpi="600" orientation="portrait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R53"/>
  <sheetViews>
    <sheetView zoomScalePageLayoutView="0" workbookViewId="0" topLeftCell="A7">
      <pane ySplit="2" topLeftCell="A21" activePane="bottomLeft" state="frozen"/>
      <selection pane="topLeft" activeCell="A7" sqref="A7"/>
      <selection pane="bottomLeft" activeCell="L20" sqref="L20"/>
    </sheetView>
  </sheetViews>
  <sheetFormatPr defaultColWidth="9.00390625" defaultRowHeight="15.75"/>
  <cols>
    <col min="1" max="1" width="5.125" style="15" customWidth="1"/>
    <col min="2" max="2" width="35.875" style="15" customWidth="1"/>
    <col min="3" max="3" width="10.625" style="15" customWidth="1"/>
    <col min="4" max="4" width="9.375" style="15" hidden="1" customWidth="1"/>
    <col min="5" max="5" width="9.25390625" style="15" hidden="1" customWidth="1"/>
    <col min="6" max="6" width="8.375" style="15" customWidth="1"/>
    <col min="7" max="8" width="9.25390625" style="15" hidden="1" customWidth="1"/>
    <col min="9" max="9" width="9.75390625" style="15" customWidth="1"/>
    <col min="10" max="10" width="9.375" style="15" hidden="1" customWidth="1"/>
    <col min="11" max="11" width="8.875" style="15" customWidth="1"/>
    <col min="12" max="12" width="9.875" style="15" bestFit="1" customWidth="1"/>
    <col min="13" max="13" width="0" style="15" hidden="1" customWidth="1"/>
    <col min="14" max="14" width="19.00390625" style="15" customWidth="1"/>
    <col min="15" max="16" width="9.00390625" style="15" customWidth="1"/>
    <col min="17" max="17" width="11.50390625" style="15" bestFit="1" customWidth="1"/>
    <col min="18" max="18" width="9.125" style="15" bestFit="1" customWidth="1"/>
    <col min="19" max="16384" width="9.00390625" style="15" customWidth="1"/>
  </cols>
  <sheetData>
    <row r="1" spans="1:14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4" customFormat="1" ht="18" customHeight="1">
      <c r="A2" s="407" t="s">
        <v>217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4" s="4" customFormat="1" ht="16.5" customHeight="1">
      <c r="A3" s="410" t="s">
        <v>183</v>
      </c>
      <c r="B3" s="410"/>
      <c r="C3" s="74" t="str">
        <f>'Mã số'!C42</f>
        <v>1031713</v>
      </c>
      <c r="D3" s="74"/>
      <c r="E3" s="74"/>
      <c r="F3" s="72"/>
      <c r="G3" s="72"/>
      <c r="H3" s="72"/>
      <c r="I3" s="72"/>
      <c r="J3" s="72"/>
      <c r="K3" s="72"/>
      <c r="L3" s="72"/>
      <c r="M3" s="72"/>
      <c r="N3" s="72"/>
    </row>
    <row r="4" spans="1:14" s="4" customFormat="1" ht="15" customHeight="1">
      <c r="A4" s="410" t="s">
        <v>184</v>
      </c>
      <c r="B4" s="410"/>
      <c r="C4" s="74" t="str">
        <f>'Mã số'!D42</f>
        <v>2761</v>
      </c>
      <c r="D4" s="74"/>
      <c r="E4" s="74"/>
      <c r="F4" s="72"/>
      <c r="G4" s="72"/>
      <c r="H4" s="72"/>
      <c r="I4" s="72"/>
      <c r="J4" s="72"/>
      <c r="K4" s="72"/>
      <c r="L4" s="72"/>
      <c r="M4" s="72"/>
      <c r="N4" s="72"/>
    </row>
    <row r="5" spans="1:14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</row>
    <row r="6" spans="1:14" s="3" customFormat="1" ht="16.5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 t="s">
        <v>29</v>
      </c>
    </row>
    <row r="7" spans="1:14" s="301" customFormat="1" ht="30.75" customHeight="1">
      <c r="A7" s="418" t="s">
        <v>0</v>
      </c>
      <c r="B7" s="418" t="s">
        <v>22</v>
      </c>
      <c r="C7" s="418" t="s">
        <v>23</v>
      </c>
      <c r="D7" s="415" t="s">
        <v>220</v>
      </c>
      <c r="E7" s="416"/>
      <c r="F7" s="416"/>
      <c r="G7" s="416"/>
      <c r="H7" s="416"/>
      <c r="I7" s="416"/>
      <c r="J7" s="416"/>
      <c r="K7" s="416"/>
      <c r="L7" s="416"/>
      <c r="M7" s="417"/>
      <c r="N7" s="418" t="s">
        <v>24</v>
      </c>
    </row>
    <row r="8" spans="1:14" s="301" customFormat="1" ht="69.75" customHeight="1">
      <c r="A8" s="419"/>
      <c r="B8" s="419"/>
      <c r="C8" s="420"/>
      <c r="D8" s="302" t="s">
        <v>408</v>
      </c>
      <c r="E8" s="302" t="s">
        <v>406</v>
      </c>
      <c r="F8" s="302" t="s">
        <v>192</v>
      </c>
      <c r="G8" s="302" t="s">
        <v>196</v>
      </c>
      <c r="H8" s="302" t="s">
        <v>231</v>
      </c>
      <c r="I8" s="302" t="s">
        <v>193</v>
      </c>
      <c r="J8" s="302" t="s">
        <v>242</v>
      </c>
      <c r="K8" s="302" t="s">
        <v>194</v>
      </c>
      <c r="L8" s="302" t="s">
        <v>195</v>
      </c>
      <c r="M8" s="302" t="s">
        <v>221</v>
      </c>
      <c r="N8" s="419"/>
    </row>
    <row r="9" spans="1:14" s="307" customFormat="1" ht="18" customHeight="1">
      <c r="A9" s="303" t="s">
        <v>1</v>
      </c>
      <c r="B9" s="304" t="s">
        <v>25</v>
      </c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6"/>
    </row>
    <row r="10" spans="1:18" s="307" customFormat="1" ht="18" customHeight="1">
      <c r="A10" s="308" t="s">
        <v>20</v>
      </c>
      <c r="B10" s="309" t="s">
        <v>26</v>
      </c>
      <c r="C10" s="310">
        <f>SUM(D10:M10)</f>
        <v>59903</v>
      </c>
      <c r="D10" s="310">
        <f aca="true" t="shared" si="0" ref="D10:M10">D11+D23+D33+D37+D42+D46+D50</f>
        <v>0</v>
      </c>
      <c r="E10" s="310">
        <f t="shared" si="0"/>
        <v>0</v>
      </c>
      <c r="F10" s="310">
        <f t="shared" si="0"/>
        <v>9091</v>
      </c>
      <c r="G10" s="310">
        <f t="shared" si="0"/>
        <v>0</v>
      </c>
      <c r="H10" s="310">
        <f t="shared" si="0"/>
        <v>0</v>
      </c>
      <c r="I10" s="310">
        <f t="shared" si="0"/>
        <v>47200</v>
      </c>
      <c r="J10" s="310">
        <f t="shared" si="0"/>
        <v>0</v>
      </c>
      <c r="K10" s="310">
        <f t="shared" si="0"/>
        <v>2912</v>
      </c>
      <c r="L10" s="310">
        <f t="shared" si="0"/>
        <v>700</v>
      </c>
      <c r="M10" s="310">
        <f t="shared" si="0"/>
        <v>0</v>
      </c>
      <c r="N10" s="311"/>
      <c r="Q10" s="312"/>
      <c r="R10" s="312"/>
    </row>
    <row r="11" spans="1:14" s="307" customFormat="1" ht="18" customHeight="1">
      <c r="A11" s="308">
        <v>1</v>
      </c>
      <c r="B11" s="309" t="s">
        <v>223</v>
      </c>
      <c r="C11" s="310">
        <f aca="true" t="shared" si="1" ref="C11:C53">SUM(D11:M11)</f>
        <v>47200</v>
      </c>
      <c r="D11" s="310">
        <f>D12+D14</f>
        <v>0</v>
      </c>
      <c r="E11" s="310">
        <f>E12+E14</f>
        <v>0</v>
      </c>
      <c r="F11" s="310">
        <f aca="true" t="shared" si="2" ref="F11:M11">F12+F14</f>
        <v>0</v>
      </c>
      <c r="G11" s="310">
        <f t="shared" si="2"/>
        <v>0</v>
      </c>
      <c r="H11" s="310">
        <f t="shared" si="2"/>
        <v>0</v>
      </c>
      <c r="I11" s="310">
        <f>I12+I14</f>
        <v>47200</v>
      </c>
      <c r="J11" s="310">
        <f t="shared" si="2"/>
        <v>0</v>
      </c>
      <c r="K11" s="310">
        <f t="shared" si="2"/>
        <v>0</v>
      </c>
      <c r="L11" s="310">
        <f t="shared" si="2"/>
        <v>0</v>
      </c>
      <c r="M11" s="310">
        <f t="shared" si="2"/>
        <v>0</v>
      </c>
      <c r="N11" s="313"/>
    </row>
    <row r="12" spans="1:14" s="307" customFormat="1" ht="24.75" customHeight="1">
      <c r="A12" s="314" t="s">
        <v>179</v>
      </c>
      <c r="B12" s="265" t="s">
        <v>27</v>
      </c>
      <c r="C12" s="315">
        <f t="shared" si="1"/>
        <v>2000</v>
      </c>
      <c r="D12" s="315"/>
      <c r="E12" s="315"/>
      <c r="F12" s="315"/>
      <c r="G12" s="315"/>
      <c r="H12" s="315"/>
      <c r="I12" s="315">
        <f>Sheet2!BA50</f>
        <v>2000</v>
      </c>
      <c r="J12" s="315"/>
      <c r="K12" s="315"/>
      <c r="L12" s="315"/>
      <c r="M12" s="315"/>
      <c r="N12" s="316"/>
    </row>
    <row r="13" spans="1:14" s="307" customFormat="1" ht="29.25" customHeight="1">
      <c r="A13" s="317"/>
      <c r="B13" s="318" t="s">
        <v>248</v>
      </c>
      <c r="C13" s="315">
        <f t="shared" si="1"/>
        <v>0</v>
      </c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20"/>
    </row>
    <row r="14" spans="1:14" s="270" customFormat="1" ht="16.5">
      <c r="A14" s="314" t="s">
        <v>180</v>
      </c>
      <c r="B14" s="265" t="s">
        <v>28</v>
      </c>
      <c r="C14" s="315">
        <f>SUM(D14:M14)</f>
        <v>45200</v>
      </c>
      <c r="D14" s="315">
        <f aca="true" t="shared" si="3" ref="D14:M14">SUM(D16:D22)</f>
        <v>0</v>
      </c>
      <c r="E14" s="315">
        <f t="shared" si="3"/>
        <v>0</v>
      </c>
      <c r="F14" s="315">
        <f t="shared" si="3"/>
        <v>0</v>
      </c>
      <c r="G14" s="315">
        <f t="shared" si="3"/>
        <v>0</v>
      </c>
      <c r="H14" s="315">
        <f t="shared" si="3"/>
        <v>0</v>
      </c>
      <c r="I14" s="315">
        <f t="shared" si="3"/>
        <v>45200</v>
      </c>
      <c r="J14" s="315">
        <f t="shared" si="3"/>
        <v>0</v>
      </c>
      <c r="K14" s="315">
        <f t="shared" si="3"/>
        <v>0</v>
      </c>
      <c r="L14" s="315">
        <f t="shared" si="3"/>
        <v>0</v>
      </c>
      <c r="M14" s="315">
        <f t="shared" si="3"/>
        <v>0</v>
      </c>
      <c r="N14" s="321"/>
    </row>
    <row r="15" spans="1:14" s="270" customFormat="1" ht="16.5">
      <c r="A15" s="314"/>
      <c r="B15" s="265" t="s">
        <v>235</v>
      </c>
      <c r="C15" s="315">
        <f t="shared" si="1"/>
        <v>0</v>
      </c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21"/>
    </row>
    <row r="16" spans="1:14" s="270" customFormat="1" ht="115.5" customHeight="1">
      <c r="A16" s="314"/>
      <c r="B16" s="322" t="s">
        <v>419</v>
      </c>
      <c r="C16" s="315">
        <f t="shared" si="1"/>
        <v>7000</v>
      </c>
      <c r="D16" s="315"/>
      <c r="E16" s="315"/>
      <c r="F16" s="315"/>
      <c r="G16" s="315"/>
      <c r="H16" s="315"/>
      <c r="I16" s="323">
        <f>Sheet2!BO50</f>
        <v>7000</v>
      </c>
      <c r="J16" s="315"/>
      <c r="K16" s="315"/>
      <c r="L16" s="315"/>
      <c r="M16" s="315"/>
      <c r="N16" s="324" t="s">
        <v>481</v>
      </c>
    </row>
    <row r="17" spans="1:14" s="327" customFormat="1" ht="16.5">
      <c r="A17" s="325"/>
      <c r="B17" s="266" t="s">
        <v>230</v>
      </c>
      <c r="C17" s="315">
        <f t="shared" si="1"/>
        <v>0</v>
      </c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6"/>
    </row>
    <row r="18" spans="1:14" s="327" customFormat="1" ht="45">
      <c r="A18" s="325"/>
      <c r="B18" s="266" t="s">
        <v>436</v>
      </c>
      <c r="C18" s="315">
        <f t="shared" si="1"/>
        <v>0</v>
      </c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6"/>
    </row>
    <row r="19" spans="1:14" s="327" customFormat="1" ht="16.5">
      <c r="A19" s="325"/>
      <c r="B19" s="322" t="s">
        <v>241</v>
      </c>
      <c r="C19" s="315">
        <f t="shared" si="1"/>
        <v>0</v>
      </c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6"/>
    </row>
    <row r="20" spans="1:14" s="270" customFormat="1" ht="30">
      <c r="A20" s="314"/>
      <c r="B20" s="266" t="s">
        <v>222</v>
      </c>
      <c r="C20" s="315">
        <f t="shared" si="1"/>
        <v>200</v>
      </c>
      <c r="D20" s="323"/>
      <c r="E20" s="323"/>
      <c r="F20" s="323"/>
      <c r="G20" s="323"/>
      <c r="H20" s="323"/>
      <c r="I20" s="323">
        <f>Sheet2!BX50</f>
        <v>200</v>
      </c>
      <c r="J20" s="323"/>
      <c r="K20" s="323"/>
      <c r="L20" s="323"/>
      <c r="M20" s="323"/>
      <c r="N20" s="321"/>
    </row>
    <row r="21" spans="1:14" s="270" customFormat="1" ht="16.5">
      <c r="A21" s="314"/>
      <c r="B21" s="266" t="s">
        <v>393</v>
      </c>
      <c r="C21" s="315">
        <f t="shared" si="1"/>
        <v>30000</v>
      </c>
      <c r="D21" s="323"/>
      <c r="E21" s="323"/>
      <c r="F21" s="323"/>
      <c r="G21" s="323"/>
      <c r="H21" s="323"/>
      <c r="I21" s="323">
        <f>Sheet2!CH50</f>
        <v>30000</v>
      </c>
      <c r="J21" s="323"/>
      <c r="K21" s="323"/>
      <c r="L21" s="323"/>
      <c r="M21" s="323"/>
      <c r="N21" s="321"/>
    </row>
    <row r="22" spans="1:14" s="270" customFormat="1" ht="38.25" customHeight="1">
      <c r="A22" s="314"/>
      <c r="B22" s="266" t="s">
        <v>243</v>
      </c>
      <c r="C22" s="315">
        <f t="shared" si="1"/>
        <v>8000</v>
      </c>
      <c r="D22" s="323"/>
      <c r="E22" s="323"/>
      <c r="F22" s="323"/>
      <c r="G22" s="323"/>
      <c r="H22" s="323"/>
      <c r="I22" s="323">
        <f>Sheet2!CI50</f>
        <v>8000</v>
      </c>
      <c r="J22" s="323"/>
      <c r="K22" s="323"/>
      <c r="L22" s="323"/>
      <c r="M22" s="323"/>
      <c r="N22" s="324" t="s">
        <v>437</v>
      </c>
    </row>
    <row r="23" spans="1:14" s="270" customFormat="1" ht="16.5">
      <c r="A23" s="308">
        <v>2</v>
      </c>
      <c r="B23" s="309" t="s">
        <v>224</v>
      </c>
      <c r="C23" s="310">
        <f t="shared" si="1"/>
        <v>3612</v>
      </c>
      <c r="D23" s="310">
        <f aca="true" t="shared" si="4" ref="D23:L23">D24+D26</f>
        <v>0</v>
      </c>
      <c r="E23" s="310">
        <f>E24+E26</f>
        <v>0</v>
      </c>
      <c r="F23" s="310">
        <f t="shared" si="4"/>
        <v>0</v>
      </c>
      <c r="G23" s="310">
        <f t="shared" si="4"/>
        <v>0</v>
      </c>
      <c r="H23" s="310">
        <f t="shared" si="4"/>
        <v>0</v>
      </c>
      <c r="I23" s="310">
        <f t="shared" si="4"/>
        <v>0</v>
      </c>
      <c r="J23" s="310"/>
      <c r="K23" s="310">
        <f t="shared" si="4"/>
        <v>2912</v>
      </c>
      <c r="L23" s="310">
        <f t="shared" si="4"/>
        <v>700</v>
      </c>
      <c r="M23" s="310">
        <f>M24+M26</f>
        <v>0</v>
      </c>
      <c r="N23" s="321"/>
    </row>
    <row r="24" spans="1:14" s="270" customFormat="1" ht="16.5">
      <c r="A24" s="314" t="s">
        <v>181</v>
      </c>
      <c r="B24" s="265" t="s">
        <v>27</v>
      </c>
      <c r="C24" s="315">
        <f t="shared" si="1"/>
        <v>0</v>
      </c>
      <c r="D24" s="310"/>
      <c r="E24" s="310"/>
      <c r="F24" s="315"/>
      <c r="G24" s="315"/>
      <c r="H24" s="315"/>
      <c r="I24" s="315"/>
      <c r="J24" s="315"/>
      <c r="K24" s="315"/>
      <c r="L24" s="315"/>
      <c r="M24" s="315"/>
      <c r="N24" s="313"/>
    </row>
    <row r="25" spans="1:14" s="270" customFormat="1" ht="30">
      <c r="A25" s="317"/>
      <c r="B25" s="318" t="s">
        <v>248</v>
      </c>
      <c r="C25" s="315">
        <f t="shared" si="1"/>
        <v>0</v>
      </c>
      <c r="D25" s="310"/>
      <c r="E25" s="310"/>
      <c r="F25" s="315"/>
      <c r="G25" s="315"/>
      <c r="H25" s="315"/>
      <c r="I25" s="315"/>
      <c r="J25" s="315"/>
      <c r="K25" s="315"/>
      <c r="L25" s="315"/>
      <c r="M25" s="315"/>
      <c r="N25" s="313"/>
    </row>
    <row r="26" spans="1:14" s="270" customFormat="1" ht="16.5">
      <c r="A26" s="314" t="s">
        <v>182</v>
      </c>
      <c r="B26" s="265" t="s">
        <v>28</v>
      </c>
      <c r="C26" s="315">
        <f t="shared" si="1"/>
        <v>3612</v>
      </c>
      <c r="D26" s="315"/>
      <c r="E26" s="315"/>
      <c r="F26" s="315">
        <f aca="true" t="shared" si="5" ref="F26:K26">SUM(F28:F32)</f>
        <v>0</v>
      </c>
      <c r="G26" s="315">
        <f t="shared" si="5"/>
        <v>0</v>
      </c>
      <c r="H26" s="315">
        <f t="shared" si="5"/>
        <v>0</v>
      </c>
      <c r="I26" s="315">
        <f t="shared" si="5"/>
        <v>0</v>
      </c>
      <c r="J26" s="315">
        <f t="shared" si="5"/>
        <v>0</v>
      </c>
      <c r="K26" s="315">
        <f t="shared" si="5"/>
        <v>2912</v>
      </c>
      <c r="L26" s="315">
        <f>SUM(L28:L32)</f>
        <v>700</v>
      </c>
      <c r="M26" s="315">
        <f>SUM(M28:M32)</f>
        <v>0</v>
      </c>
      <c r="N26" s="313"/>
    </row>
    <row r="27" spans="1:14" s="270" customFormat="1" ht="16.5">
      <c r="A27" s="314"/>
      <c r="B27" s="265" t="s">
        <v>235</v>
      </c>
      <c r="C27" s="315">
        <f t="shared" si="1"/>
        <v>0</v>
      </c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13"/>
    </row>
    <row r="28" spans="1:14" s="270" customFormat="1" ht="16.5">
      <c r="A28" s="314"/>
      <c r="B28" s="322" t="s">
        <v>232</v>
      </c>
      <c r="C28" s="315">
        <f t="shared" si="1"/>
        <v>700</v>
      </c>
      <c r="D28" s="323"/>
      <c r="E28" s="323"/>
      <c r="F28" s="323"/>
      <c r="G28" s="323"/>
      <c r="H28" s="323"/>
      <c r="I28" s="323"/>
      <c r="J28" s="323"/>
      <c r="K28" s="323"/>
      <c r="L28" s="323">
        <f>Sheet2!BZ54</f>
        <v>700</v>
      </c>
      <c r="M28" s="323"/>
      <c r="N28" s="313"/>
    </row>
    <row r="29" spans="1:14" s="270" customFormat="1" ht="30">
      <c r="A29" s="314"/>
      <c r="B29" s="266" t="s">
        <v>222</v>
      </c>
      <c r="C29" s="315">
        <f t="shared" si="1"/>
        <v>0</v>
      </c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13"/>
    </row>
    <row r="30" spans="1:14" s="270" customFormat="1" ht="45">
      <c r="A30" s="314"/>
      <c r="B30" s="266" t="s">
        <v>234</v>
      </c>
      <c r="C30" s="315">
        <f t="shared" si="1"/>
        <v>1912</v>
      </c>
      <c r="D30" s="323"/>
      <c r="E30" s="323"/>
      <c r="F30" s="323"/>
      <c r="G30" s="323"/>
      <c r="H30" s="323"/>
      <c r="I30" s="323"/>
      <c r="J30" s="323"/>
      <c r="K30" s="323">
        <f>Sheet2!CA54</f>
        <v>1912</v>
      </c>
      <c r="L30" s="323"/>
      <c r="M30" s="323"/>
      <c r="N30" s="313"/>
    </row>
    <row r="31" spans="1:14" s="270" customFormat="1" ht="45">
      <c r="A31" s="314"/>
      <c r="B31" s="266" t="s">
        <v>233</v>
      </c>
      <c r="C31" s="315">
        <f t="shared" si="1"/>
        <v>1000</v>
      </c>
      <c r="D31" s="323"/>
      <c r="E31" s="323"/>
      <c r="F31" s="323"/>
      <c r="G31" s="323"/>
      <c r="H31" s="323"/>
      <c r="I31" s="323"/>
      <c r="J31" s="323"/>
      <c r="K31" s="323">
        <f>Sheet2!CB54</f>
        <v>1000</v>
      </c>
      <c r="L31" s="323"/>
      <c r="M31" s="323"/>
      <c r="N31" s="313"/>
    </row>
    <row r="32" spans="1:14" s="270" customFormat="1" ht="20.25" customHeight="1">
      <c r="A32" s="314"/>
      <c r="B32" s="266" t="s">
        <v>243</v>
      </c>
      <c r="C32" s="315">
        <f t="shared" si="1"/>
        <v>0</v>
      </c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8"/>
    </row>
    <row r="33" spans="1:14" s="270" customFormat="1" ht="16.5">
      <c r="A33" s="308">
        <v>3</v>
      </c>
      <c r="B33" s="309" t="s">
        <v>225</v>
      </c>
      <c r="C33" s="310">
        <f t="shared" si="1"/>
        <v>9091</v>
      </c>
      <c r="D33" s="310">
        <f>D34+D36</f>
        <v>0</v>
      </c>
      <c r="E33" s="310">
        <f>E34+E36</f>
        <v>0</v>
      </c>
      <c r="F33" s="310">
        <f aca="true" t="shared" si="6" ref="F33:L33">F34+F36</f>
        <v>9091</v>
      </c>
      <c r="G33" s="310">
        <f t="shared" si="6"/>
        <v>0</v>
      </c>
      <c r="H33" s="310">
        <f t="shared" si="6"/>
        <v>0</v>
      </c>
      <c r="I33" s="310">
        <f t="shared" si="6"/>
        <v>0</v>
      </c>
      <c r="J33" s="310"/>
      <c r="K33" s="310">
        <f t="shared" si="6"/>
        <v>0</v>
      </c>
      <c r="L33" s="310">
        <f t="shared" si="6"/>
        <v>0</v>
      </c>
      <c r="M33" s="310"/>
      <c r="N33" s="321"/>
    </row>
    <row r="34" spans="1:14" s="270" customFormat="1" ht="16.5">
      <c r="A34" s="314" t="s">
        <v>226</v>
      </c>
      <c r="B34" s="265" t="s">
        <v>27</v>
      </c>
      <c r="C34" s="315">
        <f t="shared" si="1"/>
        <v>9071</v>
      </c>
      <c r="D34" s="315"/>
      <c r="E34" s="315"/>
      <c r="F34" s="315">
        <f>Sheet2!DZ56</f>
        <v>9071</v>
      </c>
      <c r="G34" s="315"/>
      <c r="H34" s="315"/>
      <c r="I34" s="315"/>
      <c r="J34" s="315"/>
      <c r="K34" s="315"/>
      <c r="L34" s="315"/>
      <c r="M34" s="315"/>
      <c r="N34" s="313"/>
    </row>
    <row r="35" spans="1:14" s="327" customFormat="1" ht="30">
      <c r="A35" s="329"/>
      <c r="B35" s="318" t="s">
        <v>248</v>
      </c>
      <c r="C35" s="323">
        <f t="shared" si="1"/>
        <v>201</v>
      </c>
      <c r="D35" s="323"/>
      <c r="E35" s="323"/>
      <c r="F35" s="323">
        <f>Sheet2!AX56</f>
        <v>201</v>
      </c>
      <c r="G35" s="323"/>
      <c r="H35" s="323"/>
      <c r="I35" s="323"/>
      <c r="J35" s="323"/>
      <c r="K35" s="323"/>
      <c r="L35" s="323"/>
      <c r="M35" s="323"/>
      <c r="N35" s="330"/>
    </row>
    <row r="36" spans="1:14" s="270" customFormat="1" ht="16.5">
      <c r="A36" s="314" t="s">
        <v>227</v>
      </c>
      <c r="B36" s="265" t="s">
        <v>28</v>
      </c>
      <c r="C36" s="315">
        <f t="shared" si="1"/>
        <v>20</v>
      </c>
      <c r="D36" s="315"/>
      <c r="E36" s="315"/>
      <c r="F36" s="315">
        <f>Sheet2!EA56</f>
        <v>20</v>
      </c>
      <c r="G36" s="315"/>
      <c r="H36" s="315"/>
      <c r="I36" s="315"/>
      <c r="J36" s="315"/>
      <c r="K36" s="315"/>
      <c r="L36" s="315"/>
      <c r="M36" s="315"/>
      <c r="N36" s="268" t="s">
        <v>431</v>
      </c>
    </row>
    <row r="37" spans="1:14" s="14" customFormat="1" ht="49.5">
      <c r="A37" s="87">
        <v>4</v>
      </c>
      <c r="B37" s="103" t="s">
        <v>394</v>
      </c>
      <c r="C37" s="105">
        <f t="shared" si="1"/>
        <v>0</v>
      </c>
      <c r="D37" s="105">
        <f aca="true" t="shared" si="7" ref="D37:L37">D38+D40</f>
        <v>0</v>
      </c>
      <c r="E37" s="105">
        <f>E38+E40</f>
        <v>0</v>
      </c>
      <c r="F37" s="105">
        <f t="shared" si="7"/>
        <v>0</v>
      </c>
      <c r="G37" s="105">
        <f t="shared" si="7"/>
        <v>0</v>
      </c>
      <c r="H37" s="105">
        <f t="shared" si="7"/>
        <v>0</v>
      </c>
      <c r="I37" s="105">
        <f t="shared" si="7"/>
        <v>0</v>
      </c>
      <c r="J37" s="105"/>
      <c r="K37" s="105">
        <f t="shared" si="7"/>
        <v>0</v>
      </c>
      <c r="L37" s="105">
        <f t="shared" si="7"/>
        <v>0</v>
      </c>
      <c r="M37" s="105"/>
      <c r="N37" s="80"/>
    </row>
    <row r="38" spans="1:14" s="14" customFormat="1" ht="16.5">
      <c r="A38" s="16" t="s">
        <v>228</v>
      </c>
      <c r="B38" s="13" t="s">
        <v>27</v>
      </c>
      <c r="C38" s="104">
        <f t="shared" si="1"/>
        <v>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94"/>
    </row>
    <row r="39" spans="1:14" s="14" customFormat="1" ht="30">
      <c r="A39" s="77"/>
      <c r="B39" s="102" t="s">
        <v>248</v>
      </c>
      <c r="C39" s="104">
        <f t="shared" si="1"/>
        <v>0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94"/>
    </row>
    <row r="40" spans="1:14" s="14" customFormat="1" ht="16.5">
      <c r="A40" s="16" t="s">
        <v>229</v>
      </c>
      <c r="B40" s="13" t="s">
        <v>28</v>
      </c>
      <c r="C40" s="104">
        <f t="shared" si="1"/>
        <v>0</v>
      </c>
      <c r="D40" s="104"/>
      <c r="E40" s="104"/>
      <c r="F40" s="104"/>
      <c r="G40" s="104">
        <f>Sheet2!CT59</f>
        <v>0</v>
      </c>
      <c r="H40" s="104"/>
      <c r="I40" s="104"/>
      <c r="J40" s="104"/>
      <c r="K40" s="104"/>
      <c r="L40" s="104"/>
      <c r="M40" s="104"/>
      <c r="N40" s="94"/>
    </row>
    <row r="41" spans="1:14" s="14" customFormat="1" ht="15.75">
      <c r="A41" s="81"/>
      <c r="B41" s="82"/>
      <c r="C41" s="104">
        <f t="shared" si="1"/>
        <v>0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94"/>
    </row>
    <row r="42" spans="1:14" s="14" customFormat="1" ht="49.5">
      <c r="A42" s="87">
        <v>5</v>
      </c>
      <c r="B42" s="158" t="s">
        <v>418</v>
      </c>
      <c r="C42" s="105">
        <f t="shared" si="1"/>
        <v>0</v>
      </c>
      <c r="D42" s="168">
        <f>D43+D45</f>
        <v>0</v>
      </c>
      <c r="E42" s="168">
        <f>E43+E45</f>
        <v>0</v>
      </c>
      <c r="F42" s="168">
        <f>F43+F45</f>
        <v>0</v>
      </c>
      <c r="G42" s="168">
        <f>G43+G45</f>
        <v>0</v>
      </c>
      <c r="H42" s="168">
        <f aca="true" t="shared" si="8" ref="H42:M42">H43+H45</f>
        <v>0</v>
      </c>
      <c r="I42" s="169">
        <f t="shared" si="8"/>
        <v>0</v>
      </c>
      <c r="J42" s="169">
        <f t="shared" si="8"/>
        <v>0</v>
      </c>
      <c r="K42" s="169">
        <f t="shared" si="8"/>
        <v>0</v>
      </c>
      <c r="L42" s="169">
        <f t="shared" si="8"/>
        <v>0</v>
      </c>
      <c r="M42" s="169">
        <f t="shared" si="8"/>
        <v>0</v>
      </c>
      <c r="N42" s="81"/>
    </row>
    <row r="43" spans="1:14" ht="16.5">
      <c r="A43" s="16" t="s">
        <v>395</v>
      </c>
      <c r="B43" s="159" t="s">
        <v>402</v>
      </c>
      <c r="C43" s="104">
        <f t="shared" si="1"/>
        <v>0</v>
      </c>
      <c r="D43" s="104"/>
      <c r="E43" s="104"/>
      <c r="F43" s="160"/>
      <c r="G43" s="160"/>
      <c r="H43" s="160"/>
      <c r="I43" s="160"/>
      <c r="J43" s="160"/>
      <c r="K43" s="160"/>
      <c r="L43" s="160"/>
      <c r="M43" s="160"/>
      <c r="N43" s="160"/>
    </row>
    <row r="44" spans="1:14" ht="30">
      <c r="A44" s="16"/>
      <c r="B44" s="102" t="s">
        <v>248</v>
      </c>
      <c r="C44" s="104">
        <f t="shared" si="1"/>
        <v>0</v>
      </c>
      <c r="D44" s="104"/>
      <c r="E44" s="104"/>
      <c r="F44" s="160"/>
      <c r="G44" s="160"/>
      <c r="H44" s="160"/>
      <c r="I44" s="160"/>
      <c r="J44" s="160"/>
      <c r="K44" s="160"/>
      <c r="L44" s="160"/>
      <c r="M44" s="160"/>
      <c r="N44" s="160"/>
    </row>
    <row r="45" spans="1:14" ht="16.5">
      <c r="A45" s="16" t="s">
        <v>396</v>
      </c>
      <c r="B45" s="159" t="s">
        <v>28</v>
      </c>
      <c r="C45" s="104">
        <f t="shared" si="1"/>
        <v>0</v>
      </c>
      <c r="D45" s="104"/>
      <c r="E45" s="104"/>
      <c r="F45" s="160"/>
      <c r="G45" s="104"/>
      <c r="H45" s="104"/>
      <c r="I45" s="160"/>
      <c r="J45" s="160"/>
      <c r="K45" s="160"/>
      <c r="L45" s="160"/>
      <c r="M45" s="160"/>
      <c r="N45" s="160"/>
    </row>
    <row r="46" spans="1:14" ht="49.5">
      <c r="A46" s="87">
        <v>6</v>
      </c>
      <c r="B46" s="158" t="s">
        <v>403</v>
      </c>
      <c r="C46" s="105">
        <f t="shared" si="1"/>
        <v>0</v>
      </c>
      <c r="D46" s="168">
        <f aca="true" t="shared" si="9" ref="D46:M46">D47+D49</f>
        <v>0</v>
      </c>
      <c r="E46" s="168">
        <f t="shared" si="9"/>
        <v>0</v>
      </c>
      <c r="F46" s="168">
        <f t="shared" si="9"/>
        <v>0</v>
      </c>
      <c r="G46" s="168">
        <f t="shared" si="9"/>
        <v>0</v>
      </c>
      <c r="H46" s="168">
        <f t="shared" si="9"/>
        <v>0</v>
      </c>
      <c r="I46" s="168">
        <f t="shared" si="9"/>
        <v>0</v>
      </c>
      <c r="J46" s="168">
        <f t="shared" si="9"/>
        <v>0</v>
      </c>
      <c r="K46" s="168">
        <f t="shared" si="9"/>
        <v>0</v>
      </c>
      <c r="L46" s="168">
        <f t="shared" si="9"/>
        <v>0</v>
      </c>
      <c r="M46" s="168">
        <f t="shared" si="9"/>
        <v>0</v>
      </c>
      <c r="N46" s="160"/>
    </row>
    <row r="47" spans="1:14" ht="16.5">
      <c r="A47" s="16" t="s">
        <v>397</v>
      </c>
      <c r="B47" s="159" t="s">
        <v>402</v>
      </c>
      <c r="C47" s="104">
        <f t="shared" si="1"/>
        <v>0</v>
      </c>
      <c r="D47" s="104"/>
      <c r="E47" s="104"/>
      <c r="F47" s="160"/>
      <c r="G47" s="160"/>
      <c r="H47" s="160"/>
      <c r="I47" s="160"/>
      <c r="J47" s="160"/>
      <c r="K47" s="160"/>
      <c r="L47" s="160"/>
      <c r="M47" s="160"/>
      <c r="N47" s="160"/>
    </row>
    <row r="48" spans="1:14" ht="30">
      <c r="A48" s="16"/>
      <c r="B48" s="102" t="s">
        <v>248</v>
      </c>
      <c r="C48" s="104">
        <f t="shared" si="1"/>
        <v>0</v>
      </c>
      <c r="D48" s="104"/>
      <c r="E48" s="104"/>
      <c r="F48" s="160"/>
      <c r="G48" s="160"/>
      <c r="H48" s="160"/>
      <c r="I48" s="160"/>
      <c r="J48" s="160"/>
      <c r="K48" s="160"/>
      <c r="L48" s="160"/>
      <c r="M48" s="160"/>
      <c r="N48" s="160"/>
    </row>
    <row r="49" spans="1:14" ht="16.5">
      <c r="A49" s="16" t="s">
        <v>398</v>
      </c>
      <c r="B49" s="159" t="s">
        <v>28</v>
      </c>
      <c r="C49" s="104">
        <f t="shared" si="1"/>
        <v>0</v>
      </c>
      <c r="D49" s="104"/>
      <c r="E49" s="104">
        <f>Sheet2!CR59</f>
        <v>0</v>
      </c>
      <c r="F49" s="160"/>
      <c r="G49" s="160"/>
      <c r="H49" s="160"/>
      <c r="I49" s="160"/>
      <c r="J49" s="160"/>
      <c r="K49" s="160"/>
      <c r="L49" s="160"/>
      <c r="M49" s="160"/>
      <c r="N49" s="160"/>
    </row>
    <row r="50" spans="1:14" ht="84.75" customHeight="1">
      <c r="A50" s="87">
        <v>7</v>
      </c>
      <c r="B50" s="172" t="s">
        <v>407</v>
      </c>
      <c r="C50" s="105">
        <f>SUM(D50:M50)</f>
        <v>0</v>
      </c>
      <c r="D50" s="168">
        <f aca="true" t="shared" si="10" ref="D50:M50">D51+D53</f>
        <v>0</v>
      </c>
      <c r="E50" s="168">
        <f t="shared" si="10"/>
        <v>0</v>
      </c>
      <c r="F50" s="168">
        <f t="shared" si="10"/>
        <v>0</v>
      </c>
      <c r="G50" s="168">
        <f t="shared" si="10"/>
        <v>0</v>
      </c>
      <c r="H50" s="168">
        <f t="shared" si="10"/>
        <v>0</v>
      </c>
      <c r="I50" s="168">
        <f t="shared" si="10"/>
        <v>0</v>
      </c>
      <c r="J50" s="168">
        <f t="shared" si="10"/>
        <v>0</v>
      </c>
      <c r="K50" s="168">
        <f t="shared" si="10"/>
        <v>0</v>
      </c>
      <c r="L50" s="168">
        <f t="shared" si="10"/>
        <v>0</v>
      </c>
      <c r="M50" s="168">
        <f t="shared" si="10"/>
        <v>0</v>
      </c>
      <c r="N50" s="160"/>
    </row>
    <row r="51" spans="1:14" ht="16.5">
      <c r="A51" s="16" t="s">
        <v>399</v>
      </c>
      <c r="B51" s="159" t="s">
        <v>401</v>
      </c>
      <c r="C51" s="104">
        <f t="shared" si="1"/>
        <v>0</v>
      </c>
      <c r="D51" s="104"/>
      <c r="E51" s="104"/>
      <c r="F51" s="160"/>
      <c r="G51" s="160"/>
      <c r="H51" s="160"/>
      <c r="I51" s="160"/>
      <c r="J51" s="160"/>
      <c r="K51" s="160"/>
      <c r="L51" s="160"/>
      <c r="M51" s="160"/>
      <c r="N51" s="160"/>
    </row>
    <row r="52" spans="1:14" ht="30">
      <c r="A52" s="16"/>
      <c r="B52" s="102" t="s">
        <v>248</v>
      </c>
      <c r="C52" s="104">
        <f t="shared" si="1"/>
        <v>0</v>
      </c>
      <c r="D52" s="104"/>
      <c r="E52" s="104"/>
      <c r="F52" s="160"/>
      <c r="G52" s="160"/>
      <c r="H52" s="160"/>
      <c r="I52" s="160"/>
      <c r="J52" s="160"/>
      <c r="K52" s="160"/>
      <c r="L52" s="160"/>
      <c r="M52" s="160"/>
      <c r="N52" s="160"/>
    </row>
    <row r="53" spans="1:14" ht="16.5">
      <c r="A53" s="122" t="s">
        <v>400</v>
      </c>
      <c r="B53" s="171" t="s">
        <v>28</v>
      </c>
      <c r="C53" s="106">
        <f t="shared" si="1"/>
        <v>0</v>
      </c>
      <c r="D53" s="106">
        <f>Sheet2!CQ59</f>
        <v>0</v>
      </c>
      <c r="E53" s="106"/>
      <c r="F53" s="170"/>
      <c r="G53" s="170"/>
      <c r="H53" s="170"/>
      <c r="I53" s="170"/>
      <c r="J53" s="170"/>
      <c r="K53" s="170"/>
      <c r="L53" s="170"/>
      <c r="M53" s="170"/>
      <c r="N53" s="170"/>
    </row>
  </sheetData>
  <sheetProtection/>
  <mergeCells count="10">
    <mergeCell ref="D7:M7"/>
    <mergeCell ref="A1:N1"/>
    <mergeCell ref="A2:N2"/>
    <mergeCell ref="A3:B3"/>
    <mergeCell ref="A4:B4"/>
    <mergeCell ref="A5:N5"/>
    <mergeCell ref="A7:A8"/>
    <mergeCell ref="B7:B8"/>
    <mergeCell ref="C7:C8"/>
    <mergeCell ref="N7:N8"/>
  </mergeCells>
  <printOptions/>
  <pageMargins left="0.75" right="0.25" top="0.75" bottom="0.5" header="0.5" footer="0.32"/>
  <pageSetup horizontalDpi="600" verticalDpi="600" orientation="portrait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D63"/>
  <sheetViews>
    <sheetView zoomScalePageLayoutView="0" workbookViewId="0" topLeftCell="A1">
      <pane xSplit="2" ySplit="9" topLeftCell="BX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V17" sqref="AV17"/>
    </sheetView>
  </sheetViews>
  <sheetFormatPr defaultColWidth="9.00390625" defaultRowHeight="15.75" outlineLevelCol="1"/>
  <cols>
    <col min="1" max="1" width="5.50390625" style="219" customWidth="1"/>
    <col min="2" max="2" width="35.125" style="219" customWidth="1"/>
    <col min="3" max="3" width="9.50390625" style="219" customWidth="1"/>
    <col min="4" max="4" width="9.625" style="219" customWidth="1"/>
    <col min="5" max="5" width="9.125" style="219" customWidth="1"/>
    <col min="6" max="6" width="9.375" style="219" customWidth="1"/>
    <col min="7" max="8" width="9.125" style="219" customWidth="1"/>
    <col min="9" max="9" width="9.50390625" style="219" customWidth="1"/>
    <col min="10" max="10" width="10.25390625" style="219" hidden="1" customWidth="1" outlineLevel="1"/>
    <col min="11" max="11" width="9.75390625" style="219" hidden="1" customWidth="1" outlineLevel="1"/>
    <col min="12" max="15" width="9.125" style="219" hidden="1" customWidth="1" outlineLevel="1"/>
    <col min="16" max="16" width="10.125" style="219" hidden="1" customWidth="1" outlineLevel="1"/>
    <col min="17" max="24" width="9.125" style="219" hidden="1" customWidth="1" outlineLevel="1"/>
    <col min="25" max="39" width="9.875" style="219" hidden="1" customWidth="1" outlineLevel="1"/>
    <col min="40" max="40" width="9.125" style="219" hidden="1" customWidth="1" outlineLevel="1"/>
    <col min="41" max="41" width="10.875" style="219" hidden="1" customWidth="1" outlineLevel="1"/>
    <col min="42" max="42" width="10.125" style="219" hidden="1" customWidth="1" outlineLevel="1"/>
    <col min="43" max="43" width="11.875" style="219" customWidth="1" collapsed="1"/>
    <col min="44" max="44" width="9.50390625" style="219" customWidth="1"/>
    <col min="45" max="45" width="9.00390625" style="219" customWidth="1"/>
    <col min="46" max="46" width="7.75390625" style="219" customWidth="1"/>
    <col min="47" max="47" width="11.00390625" style="219" customWidth="1"/>
    <col min="48" max="48" width="10.875" style="219" customWidth="1"/>
    <col min="49" max="50" width="10.75390625" style="219" customWidth="1"/>
    <col min="51" max="51" width="10.00390625" style="281" customWidth="1"/>
    <col min="52" max="52" width="11.375" style="219" customWidth="1"/>
    <col min="53" max="53" width="11.125" style="219" customWidth="1"/>
    <col min="54" max="54" width="10.625" style="219" customWidth="1"/>
    <col min="55" max="55" width="10.25390625" style="219" customWidth="1"/>
    <col min="56" max="56" width="11.50390625" style="219" customWidth="1"/>
    <col min="57" max="57" width="10.125" style="219" customWidth="1"/>
    <col min="58" max="58" width="11.125" style="219" customWidth="1"/>
    <col min="59" max="61" width="9.875" style="219" customWidth="1"/>
    <col min="62" max="62" width="10.375" style="219" customWidth="1"/>
    <col min="63" max="63" width="9.00390625" style="219" customWidth="1"/>
    <col min="64" max="64" width="11.125" style="219" customWidth="1"/>
    <col min="65" max="65" width="8.375" style="219" customWidth="1"/>
    <col min="66" max="66" width="9.00390625" style="219" customWidth="1"/>
    <col min="67" max="67" width="10.25390625" style="219" customWidth="1"/>
    <col min="68" max="73" width="9.50390625" style="219" customWidth="1"/>
    <col min="74" max="74" width="6.125" style="219" customWidth="1"/>
    <col min="75" max="75" width="9.25390625" style="219" customWidth="1"/>
    <col min="76" max="76" width="9.125" style="219" bestFit="1" customWidth="1"/>
    <col min="77" max="77" width="0" style="219" hidden="1" customWidth="1"/>
    <col min="78" max="78" width="7.00390625" style="219" customWidth="1"/>
    <col min="79" max="79" width="8.125" style="219" customWidth="1"/>
    <col min="80" max="80" width="9.00390625" style="219" customWidth="1"/>
    <col min="81" max="82" width="0" style="219" hidden="1" customWidth="1"/>
    <col min="83" max="83" width="11.375" style="219" hidden="1" customWidth="1"/>
    <col min="84" max="84" width="10.125" style="219" hidden="1" customWidth="1"/>
    <col min="85" max="85" width="0" style="219" hidden="1" customWidth="1"/>
    <col min="86" max="86" width="10.375" style="219" customWidth="1"/>
    <col min="87" max="87" width="10.625" style="219" customWidth="1"/>
    <col min="88" max="88" width="12.625" style="219" customWidth="1"/>
    <col min="89" max="108" width="12.625" style="219" hidden="1" customWidth="1"/>
    <col min="109" max="112" width="9.00390625" style="219" hidden="1" customWidth="1"/>
    <col min="113" max="114" width="10.125" style="219" hidden="1" customWidth="1"/>
    <col min="115" max="117" width="9.00390625" style="219" hidden="1" customWidth="1"/>
    <col min="118" max="118" width="11.125" style="219" hidden="1" customWidth="1"/>
    <col min="119" max="128" width="9.00390625" style="219" hidden="1" customWidth="1"/>
    <col min="129" max="129" width="0" style="219" hidden="1" customWidth="1"/>
    <col min="130" max="130" width="11.25390625" style="219" bestFit="1" customWidth="1"/>
    <col min="131" max="131" width="11.125" style="219" bestFit="1" customWidth="1"/>
    <col min="132" max="132" width="9.00390625" style="219" customWidth="1"/>
    <col min="133" max="133" width="11.125" style="219" bestFit="1" customWidth="1"/>
    <col min="134" max="16384" width="9.00390625" style="142" customWidth="1"/>
  </cols>
  <sheetData>
    <row r="1" spans="1:133" s="141" customFormat="1" ht="18.75" hidden="1">
      <c r="A1" s="441" t="s">
        <v>440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  <c r="BE1" s="441"/>
      <c r="BF1" s="441"/>
      <c r="BG1" s="441"/>
      <c r="BH1" s="351"/>
      <c r="BI1" s="351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3"/>
      <c r="CL1" s="353"/>
      <c r="CM1" s="353"/>
      <c r="CN1" s="353"/>
      <c r="CO1" s="353"/>
      <c r="CP1" s="353"/>
      <c r="CQ1" s="353"/>
      <c r="CR1" s="353"/>
      <c r="CS1" s="353"/>
      <c r="CT1" s="353"/>
      <c r="CU1" s="353"/>
      <c r="CV1" s="353"/>
      <c r="CW1" s="353"/>
      <c r="CX1" s="353"/>
      <c r="CY1" s="353"/>
      <c r="CZ1" s="353"/>
      <c r="DA1" s="353"/>
      <c r="DB1" s="353"/>
      <c r="DC1" s="353"/>
      <c r="DD1" s="353"/>
      <c r="DE1" s="353"/>
      <c r="DF1" s="353"/>
      <c r="DG1" s="353"/>
      <c r="DH1" s="353"/>
      <c r="DI1" s="353"/>
      <c r="DJ1" s="353"/>
      <c r="DK1" s="353"/>
      <c r="DL1" s="353"/>
      <c r="DM1" s="353"/>
      <c r="DN1" s="353"/>
      <c r="DO1" s="353"/>
      <c r="DP1" s="353"/>
      <c r="DQ1" s="353"/>
      <c r="DR1" s="353"/>
      <c r="DS1" s="353"/>
      <c r="DT1" s="353"/>
      <c r="DU1" s="353"/>
      <c r="DV1" s="353"/>
      <c r="DW1" s="353"/>
      <c r="DX1" s="353"/>
      <c r="DY1" s="353"/>
      <c r="DZ1" s="353"/>
      <c r="EA1" s="353"/>
      <c r="EB1" s="353"/>
      <c r="EC1" s="353"/>
    </row>
    <row r="2" spans="1:133" s="141" customFormat="1" ht="18.75" hidden="1">
      <c r="A2" s="442" t="s">
        <v>441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  <c r="BF2" s="442"/>
      <c r="BG2" s="442"/>
      <c r="BH2" s="354"/>
      <c r="BI2" s="354"/>
      <c r="BJ2" s="352"/>
      <c r="BK2" s="355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3"/>
      <c r="CL2" s="353"/>
      <c r="CM2" s="353"/>
      <c r="CN2" s="353"/>
      <c r="CO2" s="353"/>
      <c r="CP2" s="353"/>
      <c r="CQ2" s="353"/>
      <c r="CR2" s="353"/>
      <c r="CS2" s="353"/>
      <c r="CT2" s="353"/>
      <c r="CU2" s="353"/>
      <c r="CV2" s="353"/>
      <c r="CW2" s="353"/>
      <c r="CX2" s="353"/>
      <c r="CY2" s="353"/>
      <c r="CZ2" s="353"/>
      <c r="DA2" s="353"/>
      <c r="DB2" s="353"/>
      <c r="DC2" s="353"/>
      <c r="DD2" s="353"/>
      <c r="DE2" s="353"/>
      <c r="DF2" s="353"/>
      <c r="DG2" s="353"/>
      <c r="DH2" s="353"/>
      <c r="DI2" s="353"/>
      <c r="DJ2" s="353"/>
      <c r="DK2" s="353"/>
      <c r="DL2" s="353"/>
      <c r="DM2" s="353"/>
      <c r="DN2" s="353"/>
      <c r="DO2" s="353"/>
      <c r="DP2" s="353"/>
      <c r="DQ2" s="353"/>
      <c r="DR2" s="353"/>
      <c r="DS2" s="353"/>
      <c r="DT2" s="353"/>
      <c r="DU2" s="353"/>
      <c r="DV2" s="353"/>
      <c r="DW2" s="353"/>
      <c r="DX2" s="353"/>
      <c r="DY2" s="353"/>
      <c r="DZ2" s="353"/>
      <c r="EA2" s="353"/>
      <c r="EB2" s="353"/>
      <c r="EC2" s="353"/>
    </row>
    <row r="3" spans="4:62" ht="15.75">
      <c r="D3" s="334"/>
      <c r="E3" s="220"/>
      <c r="AO3" s="335"/>
      <c r="AZ3" s="225"/>
      <c r="BA3" s="220"/>
      <c r="BB3" s="220"/>
      <c r="BC3" s="220"/>
      <c r="BJ3" s="227">
        <f>46654-BJ10</f>
        <v>0</v>
      </c>
    </row>
    <row r="4" spans="4:58" ht="15.75">
      <c r="D4" s="334"/>
      <c r="E4" s="334"/>
      <c r="AO4" s="336"/>
      <c r="AW4" s="220"/>
      <c r="AX4" s="225">
        <f>4777-AX11</f>
        <v>0</v>
      </c>
      <c r="AY4" s="282">
        <f>554-AY10</f>
        <v>0</v>
      </c>
      <c r="AZ4" s="225"/>
      <c r="BA4" s="220"/>
      <c r="BB4" s="220"/>
      <c r="BF4" s="282"/>
    </row>
    <row r="5" spans="1:98" ht="25.5" customHeight="1">
      <c r="A5" s="421" t="s">
        <v>244</v>
      </c>
      <c r="B5" s="421" t="s">
        <v>114</v>
      </c>
      <c r="C5" s="421" t="s">
        <v>442</v>
      </c>
      <c r="D5" s="422" t="s">
        <v>284</v>
      </c>
      <c r="E5" s="423"/>
      <c r="F5" s="421" t="s">
        <v>443</v>
      </c>
      <c r="G5" s="422" t="s">
        <v>284</v>
      </c>
      <c r="H5" s="423"/>
      <c r="I5" s="421" t="s">
        <v>285</v>
      </c>
      <c r="J5" s="424" t="s">
        <v>286</v>
      </c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6"/>
      <c r="Y5" s="421" t="s">
        <v>287</v>
      </c>
      <c r="Z5" s="421" t="s">
        <v>288</v>
      </c>
      <c r="AA5" s="443" t="s">
        <v>289</v>
      </c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5"/>
      <c r="AN5" s="421" t="s">
        <v>290</v>
      </c>
      <c r="AO5" s="421" t="s">
        <v>444</v>
      </c>
      <c r="AP5" s="421" t="s">
        <v>291</v>
      </c>
      <c r="AQ5" s="421" t="s">
        <v>445</v>
      </c>
      <c r="AR5" s="449" t="s">
        <v>446</v>
      </c>
      <c r="AS5" s="449"/>
      <c r="AT5" s="450" t="s">
        <v>447</v>
      </c>
      <c r="AU5" s="422" t="s">
        <v>292</v>
      </c>
      <c r="AV5" s="451"/>
      <c r="AW5" s="451"/>
      <c r="AX5" s="451"/>
      <c r="AY5" s="423"/>
      <c r="AZ5" s="450" t="s">
        <v>448</v>
      </c>
      <c r="BA5" s="450" t="s">
        <v>424</v>
      </c>
      <c r="BB5" s="452" t="s">
        <v>220</v>
      </c>
      <c r="BC5" s="453"/>
      <c r="BD5" s="449" t="s">
        <v>294</v>
      </c>
      <c r="BE5" s="449"/>
      <c r="BF5" s="449"/>
      <c r="BG5" s="449"/>
      <c r="BH5" s="449"/>
      <c r="BI5" s="449"/>
      <c r="BJ5" s="449"/>
      <c r="BK5" s="449"/>
      <c r="BL5" s="449"/>
      <c r="BM5" s="449"/>
      <c r="BN5" s="449"/>
      <c r="BO5" s="449"/>
      <c r="BP5" s="449"/>
      <c r="BQ5" s="449"/>
      <c r="BR5" s="449"/>
      <c r="BS5" s="449"/>
      <c r="BT5" s="449"/>
      <c r="BU5" s="449"/>
      <c r="BV5" s="449"/>
      <c r="BW5" s="449"/>
      <c r="BX5" s="449"/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I5" s="449"/>
      <c r="CJ5" s="430" t="s">
        <v>449</v>
      </c>
      <c r="CN5" s="430" t="s">
        <v>425</v>
      </c>
      <c r="CO5" s="430" t="s">
        <v>426</v>
      </c>
      <c r="CP5" s="430" t="s">
        <v>295</v>
      </c>
      <c r="CT5" s="421" t="s">
        <v>296</v>
      </c>
    </row>
    <row r="6" spans="1:98" ht="15.75" customHeight="1">
      <c r="A6" s="421"/>
      <c r="B6" s="421"/>
      <c r="C6" s="421"/>
      <c r="D6" s="427" t="s">
        <v>100</v>
      </c>
      <c r="E6" s="427" t="s">
        <v>297</v>
      </c>
      <c r="F6" s="421"/>
      <c r="G6" s="427" t="s">
        <v>100</v>
      </c>
      <c r="H6" s="427" t="s">
        <v>297</v>
      </c>
      <c r="I6" s="421"/>
      <c r="J6" s="427" t="s">
        <v>298</v>
      </c>
      <c r="K6" s="424" t="s">
        <v>299</v>
      </c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6"/>
      <c r="Y6" s="421"/>
      <c r="Z6" s="421"/>
      <c r="AA6" s="446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8"/>
      <c r="AN6" s="421"/>
      <c r="AO6" s="421"/>
      <c r="AP6" s="421"/>
      <c r="AQ6" s="421"/>
      <c r="AR6" s="458" t="s">
        <v>300</v>
      </c>
      <c r="AS6" s="458" t="s">
        <v>301</v>
      </c>
      <c r="AT6" s="450"/>
      <c r="AU6" s="458" t="s">
        <v>302</v>
      </c>
      <c r="AV6" s="458" t="s">
        <v>427</v>
      </c>
      <c r="AW6" s="458" t="s">
        <v>450</v>
      </c>
      <c r="AX6" s="458" t="s">
        <v>451</v>
      </c>
      <c r="AY6" s="458" t="s">
        <v>452</v>
      </c>
      <c r="AZ6" s="450"/>
      <c r="BA6" s="450"/>
      <c r="BB6" s="454" t="s">
        <v>428</v>
      </c>
      <c r="BC6" s="454" t="s">
        <v>429</v>
      </c>
      <c r="BD6" s="433" t="s">
        <v>239</v>
      </c>
      <c r="BE6" s="455" t="s">
        <v>303</v>
      </c>
      <c r="BF6" s="456"/>
      <c r="BG6" s="456"/>
      <c r="BH6" s="456"/>
      <c r="BI6" s="456"/>
      <c r="BJ6" s="456"/>
      <c r="BK6" s="456"/>
      <c r="BL6" s="456"/>
      <c r="BM6" s="456"/>
      <c r="BN6" s="457"/>
      <c r="BO6" s="433" t="s">
        <v>430</v>
      </c>
      <c r="BP6" s="438" t="s">
        <v>220</v>
      </c>
      <c r="BQ6" s="439"/>
      <c r="BR6" s="439"/>
      <c r="BS6" s="439"/>
      <c r="BT6" s="439"/>
      <c r="BU6" s="440"/>
      <c r="BV6" s="433" t="s">
        <v>431</v>
      </c>
      <c r="BW6" s="438" t="s">
        <v>304</v>
      </c>
      <c r="BX6" s="439"/>
      <c r="BY6" s="439"/>
      <c r="BZ6" s="439"/>
      <c r="CA6" s="439"/>
      <c r="CB6" s="439"/>
      <c r="CC6" s="439"/>
      <c r="CD6" s="439"/>
      <c r="CE6" s="439"/>
      <c r="CF6" s="439"/>
      <c r="CG6" s="440"/>
      <c r="CH6" s="433" t="s">
        <v>305</v>
      </c>
      <c r="CI6" s="433" t="s">
        <v>306</v>
      </c>
      <c r="CJ6" s="431"/>
      <c r="CN6" s="431"/>
      <c r="CO6" s="431"/>
      <c r="CP6" s="431"/>
      <c r="CT6" s="421"/>
    </row>
    <row r="7" spans="1:98" ht="21.75" customHeight="1">
      <c r="A7" s="421"/>
      <c r="B7" s="421"/>
      <c r="C7" s="421"/>
      <c r="D7" s="428"/>
      <c r="E7" s="428"/>
      <c r="F7" s="421"/>
      <c r="G7" s="428"/>
      <c r="H7" s="428"/>
      <c r="I7" s="421"/>
      <c r="J7" s="428"/>
      <c r="K7" s="421" t="s">
        <v>307</v>
      </c>
      <c r="L7" s="421" t="s">
        <v>308</v>
      </c>
      <c r="M7" s="421" t="s">
        <v>309</v>
      </c>
      <c r="N7" s="421" t="s">
        <v>310</v>
      </c>
      <c r="O7" s="421" t="s">
        <v>311</v>
      </c>
      <c r="P7" s="421" t="s">
        <v>312</v>
      </c>
      <c r="Q7" s="421" t="s">
        <v>313</v>
      </c>
      <c r="R7" s="421" t="s">
        <v>314</v>
      </c>
      <c r="S7" s="421" t="s">
        <v>315</v>
      </c>
      <c r="T7" s="421" t="s">
        <v>316</v>
      </c>
      <c r="U7" s="421" t="s">
        <v>317</v>
      </c>
      <c r="V7" s="421" t="s">
        <v>318</v>
      </c>
      <c r="W7" s="421" t="s">
        <v>319</v>
      </c>
      <c r="X7" s="421" t="s">
        <v>320</v>
      </c>
      <c r="Y7" s="421"/>
      <c r="Z7" s="421"/>
      <c r="AA7" s="421" t="s">
        <v>307</v>
      </c>
      <c r="AB7" s="421" t="s">
        <v>321</v>
      </c>
      <c r="AC7" s="421" t="s">
        <v>309</v>
      </c>
      <c r="AD7" s="421" t="s">
        <v>310</v>
      </c>
      <c r="AE7" s="421" t="s">
        <v>311</v>
      </c>
      <c r="AF7" s="421" t="s">
        <v>322</v>
      </c>
      <c r="AG7" s="421" t="s">
        <v>323</v>
      </c>
      <c r="AH7" s="421" t="s">
        <v>314</v>
      </c>
      <c r="AI7" s="421" t="s">
        <v>315</v>
      </c>
      <c r="AJ7" s="421" t="s">
        <v>316</v>
      </c>
      <c r="AK7" s="421" t="s">
        <v>317</v>
      </c>
      <c r="AL7" s="421" t="s">
        <v>318</v>
      </c>
      <c r="AM7" s="421" t="s">
        <v>319</v>
      </c>
      <c r="AN7" s="421"/>
      <c r="AO7" s="421"/>
      <c r="AP7" s="421"/>
      <c r="AQ7" s="421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28"/>
      <c r="BC7" s="428"/>
      <c r="BD7" s="434"/>
      <c r="BE7" s="430" t="s">
        <v>239</v>
      </c>
      <c r="BF7" s="430" t="s">
        <v>293</v>
      </c>
      <c r="BG7" s="455" t="s">
        <v>220</v>
      </c>
      <c r="BH7" s="456"/>
      <c r="BI7" s="456"/>
      <c r="BJ7" s="456"/>
      <c r="BK7" s="456"/>
      <c r="BL7" s="456"/>
      <c r="BM7" s="456"/>
      <c r="BN7" s="457"/>
      <c r="BO7" s="434"/>
      <c r="BP7" s="436" t="s">
        <v>432</v>
      </c>
      <c r="BQ7" s="436" t="s">
        <v>433</v>
      </c>
      <c r="BR7" s="436" t="s">
        <v>434</v>
      </c>
      <c r="BS7" s="436" t="s">
        <v>453</v>
      </c>
      <c r="BT7" s="436" t="s">
        <v>454</v>
      </c>
      <c r="BU7" s="436" t="s">
        <v>435</v>
      </c>
      <c r="BV7" s="434"/>
      <c r="BW7" s="433" t="s">
        <v>239</v>
      </c>
      <c r="BX7" s="438" t="s">
        <v>220</v>
      </c>
      <c r="BY7" s="439"/>
      <c r="BZ7" s="439"/>
      <c r="CA7" s="439"/>
      <c r="CB7" s="439"/>
      <c r="CC7" s="439"/>
      <c r="CD7" s="439"/>
      <c r="CE7" s="439"/>
      <c r="CF7" s="439"/>
      <c r="CG7" s="440"/>
      <c r="CH7" s="434"/>
      <c r="CI7" s="434"/>
      <c r="CJ7" s="431"/>
      <c r="CN7" s="431"/>
      <c r="CO7" s="431"/>
      <c r="CP7" s="431"/>
      <c r="CT7" s="421"/>
    </row>
    <row r="8" spans="1:120" ht="51.75" customHeight="1">
      <c r="A8" s="421"/>
      <c r="B8" s="421"/>
      <c r="C8" s="421"/>
      <c r="D8" s="428"/>
      <c r="E8" s="428"/>
      <c r="F8" s="421"/>
      <c r="G8" s="428"/>
      <c r="H8" s="428"/>
      <c r="I8" s="421"/>
      <c r="J8" s="428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/>
      <c r="AP8" s="421"/>
      <c r="AQ8" s="421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28"/>
      <c r="BC8" s="428"/>
      <c r="BD8" s="434"/>
      <c r="BE8" s="431"/>
      <c r="BF8" s="431"/>
      <c r="BG8" s="455" t="s">
        <v>324</v>
      </c>
      <c r="BH8" s="456"/>
      <c r="BI8" s="457"/>
      <c r="BJ8" s="430" t="s">
        <v>325</v>
      </c>
      <c r="BK8" s="430" t="s">
        <v>326</v>
      </c>
      <c r="BL8" s="430" t="s">
        <v>327</v>
      </c>
      <c r="BM8" s="430" t="s">
        <v>328</v>
      </c>
      <c r="BN8" s="430" t="s">
        <v>329</v>
      </c>
      <c r="BO8" s="434"/>
      <c r="BP8" s="437"/>
      <c r="BQ8" s="437"/>
      <c r="BR8" s="437"/>
      <c r="BS8" s="437"/>
      <c r="BT8" s="437"/>
      <c r="BU8" s="437"/>
      <c r="BV8" s="434"/>
      <c r="BW8" s="434"/>
      <c r="BX8" s="430" t="s">
        <v>330</v>
      </c>
      <c r="BY8" s="430" t="s">
        <v>331</v>
      </c>
      <c r="BZ8" s="430" t="s">
        <v>332</v>
      </c>
      <c r="CA8" s="430" t="s">
        <v>333</v>
      </c>
      <c r="CB8" s="430" t="s">
        <v>334</v>
      </c>
      <c r="CC8" s="430" t="s">
        <v>335</v>
      </c>
      <c r="CD8" s="430" t="s">
        <v>336</v>
      </c>
      <c r="CE8" s="430" t="s">
        <v>337</v>
      </c>
      <c r="CF8" s="430" t="s">
        <v>338</v>
      </c>
      <c r="CG8" s="430" t="s">
        <v>339</v>
      </c>
      <c r="CH8" s="434"/>
      <c r="CI8" s="434"/>
      <c r="CJ8" s="431"/>
      <c r="CN8" s="431"/>
      <c r="CO8" s="431"/>
      <c r="CP8" s="431"/>
      <c r="CT8" s="421"/>
      <c r="DP8" s="219">
        <f>1500/3400</f>
        <v>0.4411764705882353</v>
      </c>
    </row>
    <row r="9" spans="1:106" ht="38.25">
      <c r="A9" s="421"/>
      <c r="B9" s="421"/>
      <c r="C9" s="421"/>
      <c r="D9" s="429"/>
      <c r="E9" s="429"/>
      <c r="F9" s="421"/>
      <c r="G9" s="429"/>
      <c r="H9" s="429"/>
      <c r="I9" s="421"/>
      <c r="J9" s="429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50"/>
      <c r="AS9" s="450"/>
      <c r="AT9" s="450"/>
      <c r="AU9" s="450"/>
      <c r="AV9" s="450"/>
      <c r="AW9" s="450"/>
      <c r="AX9" s="450"/>
      <c r="AY9" s="450"/>
      <c r="AZ9" s="450"/>
      <c r="BA9" s="450"/>
      <c r="BB9" s="429"/>
      <c r="BC9" s="429"/>
      <c r="BD9" s="435"/>
      <c r="BE9" s="432"/>
      <c r="BF9" s="432"/>
      <c r="BG9" s="356" t="s">
        <v>239</v>
      </c>
      <c r="BH9" s="356" t="s">
        <v>340</v>
      </c>
      <c r="BI9" s="356" t="s">
        <v>341</v>
      </c>
      <c r="BJ9" s="429"/>
      <c r="BK9" s="429"/>
      <c r="BL9" s="429"/>
      <c r="BM9" s="429"/>
      <c r="BN9" s="429"/>
      <c r="BO9" s="435"/>
      <c r="BP9" s="437"/>
      <c r="BQ9" s="437"/>
      <c r="BR9" s="437"/>
      <c r="BS9" s="437"/>
      <c r="BT9" s="437"/>
      <c r="BU9" s="437"/>
      <c r="BV9" s="435"/>
      <c r="BW9" s="435"/>
      <c r="BX9" s="429"/>
      <c r="BY9" s="429"/>
      <c r="BZ9" s="429"/>
      <c r="CA9" s="429"/>
      <c r="CB9" s="429"/>
      <c r="CC9" s="429"/>
      <c r="CD9" s="429"/>
      <c r="CE9" s="429"/>
      <c r="CF9" s="429"/>
      <c r="CG9" s="429"/>
      <c r="CH9" s="435"/>
      <c r="CI9" s="435"/>
      <c r="CJ9" s="432"/>
      <c r="CN9" s="432"/>
      <c r="CO9" s="432"/>
      <c r="CP9" s="432"/>
      <c r="CT9" s="421"/>
      <c r="DB9" s="220">
        <f>6029-DB10</f>
        <v>130</v>
      </c>
    </row>
    <row r="10" spans="1:134" ht="15.75">
      <c r="A10" s="337"/>
      <c r="B10" s="337" t="s">
        <v>246</v>
      </c>
      <c r="C10" s="338">
        <f aca="true" t="shared" si="0" ref="C10:BN10">C11+C51+C55+C57</f>
        <v>2034</v>
      </c>
      <c r="D10" s="338">
        <f t="shared" si="0"/>
        <v>1880</v>
      </c>
      <c r="E10" s="338">
        <f t="shared" si="0"/>
        <v>154</v>
      </c>
      <c r="F10" s="338">
        <f t="shared" si="0"/>
        <v>1936</v>
      </c>
      <c r="G10" s="338">
        <f t="shared" si="0"/>
        <v>1787</v>
      </c>
      <c r="H10" s="338">
        <f t="shared" si="0"/>
        <v>149</v>
      </c>
      <c r="I10" s="338">
        <f t="shared" si="0"/>
        <v>3400</v>
      </c>
      <c r="J10" s="339">
        <f t="shared" si="0"/>
        <v>6353.539999999999</v>
      </c>
      <c r="K10" s="339">
        <f t="shared" si="0"/>
        <v>6024.9960555200005</v>
      </c>
      <c r="L10" s="339">
        <f t="shared" si="0"/>
        <v>158.6</v>
      </c>
      <c r="M10" s="339">
        <f t="shared" si="0"/>
        <v>993.1999999999998</v>
      </c>
      <c r="N10" s="339">
        <f t="shared" si="0"/>
        <v>228.40999999999997</v>
      </c>
      <c r="O10" s="339">
        <f t="shared" si="0"/>
        <v>4.800000000000001</v>
      </c>
      <c r="P10" s="339">
        <f t="shared" si="0"/>
        <v>2967.616043599999</v>
      </c>
      <c r="Q10" s="339">
        <f t="shared" si="0"/>
        <v>141.50999999999996</v>
      </c>
      <c r="R10" s="339">
        <f t="shared" si="0"/>
        <v>718.21548392</v>
      </c>
      <c r="S10" s="339">
        <f t="shared" si="0"/>
        <v>473.65948000000003</v>
      </c>
      <c r="T10" s="339">
        <f t="shared" si="0"/>
        <v>16.139448</v>
      </c>
      <c r="U10" s="339">
        <f t="shared" si="0"/>
        <v>211.60000000000002</v>
      </c>
      <c r="V10" s="339">
        <f t="shared" si="0"/>
        <v>61.1656</v>
      </c>
      <c r="W10" s="339">
        <f t="shared" si="0"/>
        <v>5.88</v>
      </c>
      <c r="X10" s="339">
        <f t="shared" si="0"/>
        <v>44.199999999999996</v>
      </c>
      <c r="Y10" s="339">
        <f t="shared" si="0"/>
        <v>9466.7746</v>
      </c>
      <c r="Z10" s="339">
        <f t="shared" si="0"/>
        <v>588.79832</v>
      </c>
      <c r="AA10" s="339">
        <f t="shared" si="0"/>
        <v>8911.386122724802</v>
      </c>
      <c r="AB10" s="339">
        <f t="shared" si="0"/>
        <v>236.31399999999996</v>
      </c>
      <c r="AC10" s="339">
        <f t="shared" si="0"/>
        <v>1479.868</v>
      </c>
      <c r="AD10" s="339">
        <f t="shared" si="0"/>
        <v>340.33089999999993</v>
      </c>
      <c r="AE10" s="339">
        <f t="shared" si="0"/>
        <v>7.152</v>
      </c>
      <c r="AF10" s="339">
        <f t="shared" si="0"/>
        <v>4421.7479049640015</v>
      </c>
      <c r="AG10" s="339">
        <f t="shared" si="0"/>
        <v>210.84990000000002</v>
      </c>
      <c r="AH10" s="339">
        <f t="shared" si="0"/>
        <v>1070.1410710408</v>
      </c>
      <c r="AI10" s="339">
        <f t="shared" si="0"/>
        <v>705.7526252</v>
      </c>
      <c r="AJ10" s="339">
        <f t="shared" si="0"/>
        <v>24.04777752</v>
      </c>
      <c r="AK10" s="339">
        <f t="shared" si="0"/>
        <v>315.28400000000005</v>
      </c>
      <c r="AL10" s="339">
        <f t="shared" si="0"/>
        <v>91.136744</v>
      </c>
      <c r="AM10" s="339">
        <f t="shared" si="0"/>
        <v>8.7612</v>
      </c>
      <c r="AN10" s="339">
        <f t="shared" si="0"/>
        <v>65.85799999999999</v>
      </c>
      <c r="AO10" s="339">
        <f t="shared" si="0"/>
        <v>19032.817042724797</v>
      </c>
      <c r="AP10" s="339">
        <f t="shared" si="0"/>
        <v>2680.6554059317878</v>
      </c>
      <c r="AQ10" s="339">
        <f t="shared" si="0"/>
        <v>260561.66938387905</v>
      </c>
      <c r="AR10" s="339">
        <f t="shared" si="0"/>
        <v>2334.0299999999997</v>
      </c>
      <c r="AS10" s="339">
        <f t="shared" si="0"/>
        <v>475.7560000000001</v>
      </c>
      <c r="AT10" s="339">
        <f t="shared" si="0"/>
        <v>0</v>
      </c>
      <c r="AU10" s="339">
        <f t="shared" si="0"/>
        <v>29987.287241424136</v>
      </c>
      <c r="AV10" s="339">
        <f t="shared" si="0"/>
        <v>21782.287241424132</v>
      </c>
      <c r="AW10" s="339">
        <f t="shared" si="0"/>
        <v>2263</v>
      </c>
      <c r="AX10" s="339">
        <f t="shared" si="0"/>
        <v>5388</v>
      </c>
      <c r="AY10" s="357">
        <f t="shared" si="0"/>
        <v>554</v>
      </c>
      <c r="AZ10" s="339">
        <f t="shared" si="0"/>
        <v>233548</v>
      </c>
      <c r="BA10" s="339">
        <f t="shared" si="0"/>
        <v>42329</v>
      </c>
      <c r="BB10" s="339">
        <f t="shared" si="0"/>
        <v>40829</v>
      </c>
      <c r="BC10" s="339">
        <f t="shared" si="0"/>
        <v>1500</v>
      </c>
      <c r="BD10" s="338">
        <f t="shared" si="0"/>
        <v>153604</v>
      </c>
      <c r="BE10" s="338">
        <f t="shared" si="0"/>
        <v>101511</v>
      </c>
      <c r="BF10" s="339">
        <f t="shared" si="0"/>
        <v>43452</v>
      </c>
      <c r="BG10" s="338">
        <f t="shared" si="0"/>
        <v>7289</v>
      </c>
      <c r="BH10" s="338">
        <f t="shared" si="0"/>
        <v>2347</v>
      </c>
      <c r="BI10" s="338">
        <f t="shared" si="0"/>
        <v>4942</v>
      </c>
      <c r="BJ10" s="338">
        <f t="shared" si="0"/>
        <v>46654</v>
      </c>
      <c r="BK10" s="338">
        <f t="shared" si="0"/>
        <v>207</v>
      </c>
      <c r="BL10" s="338">
        <f t="shared" si="0"/>
        <v>1125</v>
      </c>
      <c r="BM10" s="338">
        <f t="shared" si="0"/>
        <v>0</v>
      </c>
      <c r="BN10" s="338">
        <f t="shared" si="0"/>
        <v>2784</v>
      </c>
      <c r="BO10" s="338">
        <f aca="true" t="shared" si="1" ref="BO10:CJ10">BO11+BO51+BO55+BO57</f>
        <v>9000</v>
      </c>
      <c r="BP10" s="338">
        <f t="shared" si="1"/>
        <v>3500</v>
      </c>
      <c r="BQ10" s="338">
        <f t="shared" si="1"/>
        <v>500</v>
      </c>
      <c r="BR10" s="338">
        <f t="shared" si="1"/>
        <v>2000</v>
      </c>
      <c r="BS10" s="338">
        <f t="shared" si="1"/>
        <v>1000</v>
      </c>
      <c r="BT10" s="338">
        <f t="shared" si="1"/>
        <v>1500</v>
      </c>
      <c r="BU10" s="338">
        <f t="shared" si="1"/>
        <v>500</v>
      </c>
      <c r="BV10" s="338">
        <f t="shared" si="1"/>
        <v>20</v>
      </c>
      <c r="BW10" s="338">
        <f t="shared" si="1"/>
        <v>5073</v>
      </c>
      <c r="BX10" s="338">
        <f t="shared" si="1"/>
        <v>1461</v>
      </c>
      <c r="BY10" s="338">
        <f t="shared" si="1"/>
        <v>0</v>
      </c>
      <c r="BZ10" s="338">
        <f t="shared" si="1"/>
        <v>700</v>
      </c>
      <c r="CA10" s="338">
        <f t="shared" si="1"/>
        <v>1912</v>
      </c>
      <c r="CB10" s="338">
        <f t="shared" si="1"/>
        <v>1000</v>
      </c>
      <c r="CC10" s="338">
        <f t="shared" si="1"/>
        <v>0</v>
      </c>
      <c r="CD10" s="338">
        <f t="shared" si="1"/>
        <v>0</v>
      </c>
      <c r="CE10" s="338">
        <f t="shared" si="1"/>
        <v>0</v>
      </c>
      <c r="CF10" s="338">
        <f t="shared" si="1"/>
        <v>0</v>
      </c>
      <c r="CG10" s="338">
        <f t="shared" si="1"/>
        <v>0</v>
      </c>
      <c r="CH10" s="338">
        <f t="shared" si="1"/>
        <v>30000</v>
      </c>
      <c r="CI10" s="338">
        <f t="shared" si="1"/>
        <v>8000</v>
      </c>
      <c r="CJ10" s="338">
        <f t="shared" si="1"/>
        <v>429481</v>
      </c>
      <c r="DB10" s="220">
        <f>DB11+BH11</f>
        <v>5899</v>
      </c>
      <c r="DD10" s="227">
        <f>CJ10-CJ55</f>
        <v>420390</v>
      </c>
      <c r="DI10" s="226">
        <f>CJ10-BD10</f>
        <v>275877</v>
      </c>
      <c r="DJ10" s="226">
        <f>CJ10-DI10</f>
        <v>153604</v>
      </c>
      <c r="DL10" s="220">
        <f>AX10+AY10</f>
        <v>5942</v>
      </c>
      <c r="DM10" s="227">
        <f>CC10+CF10</f>
        <v>0</v>
      </c>
      <c r="DN10" s="220">
        <f>BF10+BG10+BJ10+BK10+BL10+BM10+BN10+BR10+BU10+BW10+CH10+CI10</f>
        <v>147084</v>
      </c>
      <c r="DZ10" s="358">
        <f>CJ10-BD10</f>
        <v>275877</v>
      </c>
      <c r="EA10" s="358">
        <f>BD10</f>
        <v>153604</v>
      </c>
      <c r="EC10" s="229">
        <v>429481</v>
      </c>
      <c r="ED10" s="144">
        <f>EC10-CJ10</f>
        <v>0</v>
      </c>
    </row>
    <row r="11" spans="1:134" ht="15.75">
      <c r="A11" s="337" t="s">
        <v>342</v>
      </c>
      <c r="B11" s="340" t="s">
        <v>223</v>
      </c>
      <c r="C11" s="338">
        <f>C12+C37+C46+C47+C48+C49+C50</f>
        <v>1841</v>
      </c>
      <c r="D11" s="338">
        <f aca="true" t="shared" si="2" ref="D11:BO11">D12+D37+D46+D47+D48+D49+D50</f>
        <v>1700</v>
      </c>
      <c r="E11" s="338">
        <f t="shared" si="2"/>
        <v>141</v>
      </c>
      <c r="F11" s="338">
        <f t="shared" si="2"/>
        <v>1725</v>
      </c>
      <c r="G11" s="338">
        <f t="shared" si="2"/>
        <v>1590</v>
      </c>
      <c r="H11" s="338">
        <f t="shared" si="2"/>
        <v>135</v>
      </c>
      <c r="I11" s="338">
        <f t="shared" si="2"/>
        <v>3400</v>
      </c>
      <c r="J11" s="339">
        <f t="shared" si="2"/>
        <v>5542.66</v>
      </c>
      <c r="K11" s="339">
        <f t="shared" si="2"/>
        <v>5502.63931552</v>
      </c>
      <c r="L11" s="339">
        <f t="shared" si="2"/>
        <v>130.65</v>
      </c>
      <c r="M11" s="339">
        <f t="shared" si="2"/>
        <v>893.1999999999998</v>
      </c>
      <c r="N11" s="339">
        <f t="shared" si="2"/>
        <v>228.40999999999997</v>
      </c>
      <c r="O11" s="339">
        <f t="shared" si="2"/>
        <v>4.200000000000001</v>
      </c>
      <c r="P11" s="339">
        <f t="shared" si="2"/>
        <v>2739.109543599999</v>
      </c>
      <c r="Q11" s="339">
        <f t="shared" si="2"/>
        <v>134.86999999999998</v>
      </c>
      <c r="R11" s="339">
        <f t="shared" si="2"/>
        <v>628.29324392</v>
      </c>
      <c r="S11" s="339">
        <f t="shared" si="2"/>
        <v>473.65948000000003</v>
      </c>
      <c r="T11" s="339">
        <f t="shared" si="2"/>
        <v>14.067048</v>
      </c>
      <c r="U11" s="339">
        <f t="shared" si="2"/>
        <v>211.60000000000002</v>
      </c>
      <c r="V11" s="339">
        <f t="shared" si="2"/>
        <v>0</v>
      </c>
      <c r="W11" s="339">
        <f t="shared" si="2"/>
        <v>5.88</v>
      </c>
      <c r="X11" s="339">
        <f t="shared" si="2"/>
        <v>38.699999999999996</v>
      </c>
      <c r="Y11" s="339">
        <f t="shared" si="2"/>
        <v>8258.563400000001</v>
      </c>
      <c r="Z11" s="339">
        <f t="shared" si="2"/>
        <v>588.79832</v>
      </c>
      <c r="AA11" s="339">
        <f t="shared" si="2"/>
        <v>8141.269580124802</v>
      </c>
      <c r="AB11" s="339">
        <f t="shared" si="2"/>
        <v>194.6685</v>
      </c>
      <c r="AC11" s="339">
        <f t="shared" si="2"/>
        <v>1330.868</v>
      </c>
      <c r="AD11" s="339">
        <f t="shared" si="2"/>
        <v>340.33089999999993</v>
      </c>
      <c r="AE11" s="339">
        <f t="shared" si="2"/>
        <v>6.258</v>
      </c>
      <c r="AF11" s="339">
        <f t="shared" si="2"/>
        <v>4081.2732199640013</v>
      </c>
      <c r="AG11" s="339">
        <f t="shared" si="2"/>
        <v>200.95630000000003</v>
      </c>
      <c r="AH11" s="339">
        <f t="shared" si="2"/>
        <v>936.1569334408</v>
      </c>
      <c r="AI11" s="339">
        <f t="shared" si="2"/>
        <v>705.7526252</v>
      </c>
      <c r="AJ11" s="339">
        <f t="shared" si="2"/>
        <v>20.95990152</v>
      </c>
      <c r="AK11" s="339">
        <f t="shared" si="2"/>
        <v>315.28400000000005</v>
      </c>
      <c r="AL11" s="339">
        <f t="shared" si="2"/>
        <v>0</v>
      </c>
      <c r="AM11" s="339">
        <f t="shared" si="2"/>
        <v>8.7612</v>
      </c>
      <c r="AN11" s="339">
        <f t="shared" si="2"/>
        <v>57.663</v>
      </c>
      <c r="AO11" s="339">
        <f t="shared" si="2"/>
        <v>17046.2943001248</v>
      </c>
      <c r="AP11" s="339">
        <f t="shared" si="2"/>
        <v>2349.799557915788</v>
      </c>
      <c r="AQ11" s="339">
        <f t="shared" si="2"/>
        <v>232753.12629648708</v>
      </c>
      <c r="AR11" s="339">
        <f t="shared" si="2"/>
        <v>1878.27</v>
      </c>
      <c r="AS11" s="339">
        <f t="shared" si="2"/>
        <v>426.4560000000001</v>
      </c>
      <c r="AT11" s="339">
        <f t="shared" si="2"/>
        <v>0</v>
      </c>
      <c r="AU11" s="339">
        <f t="shared" si="2"/>
        <v>28864.287241424136</v>
      </c>
      <c r="AV11" s="339">
        <f t="shared" si="2"/>
        <v>21782.287241424132</v>
      </c>
      <c r="AW11" s="339">
        <f t="shared" si="2"/>
        <v>1751</v>
      </c>
      <c r="AX11" s="339">
        <f t="shared" si="2"/>
        <v>4777</v>
      </c>
      <c r="AY11" s="357">
        <f t="shared" si="2"/>
        <v>554</v>
      </c>
      <c r="AZ11" s="339">
        <f t="shared" si="2"/>
        <v>206194</v>
      </c>
      <c r="BA11" s="339">
        <f t="shared" si="2"/>
        <v>36739</v>
      </c>
      <c r="BB11" s="339">
        <f t="shared" si="2"/>
        <v>35239</v>
      </c>
      <c r="BC11" s="339">
        <f t="shared" si="2"/>
        <v>1500</v>
      </c>
      <c r="BD11" s="339">
        <f t="shared" si="2"/>
        <v>145732</v>
      </c>
      <c r="BE11" s="339">
        <f t="shared" si="2"/>
        <v>98532</v>
      </c>
      <c r="BF11" s="339">
        <f t="shared" si="2"/>
        <v>43452</v>
      </c>
      <c r="BG11" s="339">
        <f t="shared" si="2"/>
        <v>7094</v>
      </c>
      <c r="BH11" s="339">
        <f t="shared" si="2"/>
        <v>2152</v>
      </c>
      <c r="BI11" s="339">
        <f t="shared" si="2"/>
        <v>4942</v>
      </c>
      <c r="BJ11" s="339">
        <f t="shared" si="2"/>
        <v>46654</v>
      </c>
      <c r="BK11" s="339">
        <f t="shared" si="2"/>
        <v>207</v>
      </c>
      <c r="BL11" s="339">
        <f t="shared" si="2"/>
        <v>1125</v>
      </c>
      <c r="BM11" s="339">
        <f t="shared" si="2"/>
        <v>0</v>
      </c>
      <c r="BN11" s="339">
        <f t="shared" si="2"/>
        <v>0</v>
      </c>
      <c r="BO11" s="339">
        <f t="shared" si="2"/>
        <v>9000</v>
      </c>
      <c r="BP11" s="339">
        <f aca="true" t="shared" si="3" ref="BP11:DH11">BP12+BP37+BP46+BP47+BP48+BP49+BP50</f>
        <v>3500</v>
      </c>
      <c r="BQ11" s="339">
        <f t="shared" si="3"/>
        <v>500</v>
      </c>
      <c r="BR11" s="339">
        <f t="shared" si="3"/>
        <v>2000</v>
      </c>
      <c r="BS11" s="339">
        <f>BS12+BS37+BS46+BS47+BS48+BS49+BS50</f>
        <v>1000</v>
      </c>
      <c r="BT11" s="339">
        <f>BT12+BT37+BT46+BT47+BT48+BT49+BT50</f>
        <v>1500</v>
      </c>
      <c r="BU11" s="339">
        <f t="shared" si="3"/>
        <v>500</v>
      </c>
      <c r="BV11" s="339">
        <f t="shared" si="3"/>
        <v>0</v>
      </c>
      <c r="BW11" s="339">
        <f t="shared" si="3"/>
        <v>200</v>
      </c>
      <c r="BX11" s="339">
        <f t="shared" si="3"/>
        <v>200</v>
      </c>
      <c r="BY11" s="339">
        <f t="shared" si="3"/>
        <v>0</v>
      </c>
      <c r="BZ11" s="339">
        <f t="shared" si="3"/>
        <v>0</v>
      </c>
      <c r="CA11" s="339">
        <f t="shared" si="3"/>
        <v>0</v>
      </c>
      <c r="CB11" s="339">
        <f t="shared" si="3"/>
        <v>0</v>
      </c>
      <c r="CC11" s="339">
        <f t="shared" si="3"/>
        <v>0</v>
      </c>
      <c r="CD11" s="339">
        <f t="shared" si="3"/>
        <v>0</v>
      </c>
      <c r="CE11" s="339">
        <f t="shared" si="3"/>
        <v>0</v>
      </c>
      <c r="CF11" s="339">
        <f t="shared" si="3"/>
        <v>0</v>
      </c>
      <c r="CG11" s="339">
        <f t="shared" si="3"/>
        <v>0</v>
      </c>
      <c r="CH11" s="339">
        <f t="shared" si="3"/>
        <v>30000</v>
      </c>
      <c r="CI11" s="339">
        <f t="shared" si="3"/>
        <v>8000</v>
      </c>
      <c r="CJ11" s="338">
        <f t="shared" si="3"/>
        <v>388665</v>
      </c>
      <c r="CK11" s="339">
        <f t="shared" si="3"/>
        <v>0</v>
      </c>
      <c r="CL11" s="339">
        <f t="shared" si="3"/>
        <v>0</v>
      </c>
      <c r="CM11" s="339">
        <f t="shared" si="3"/>
        <v>200569</v>
      </c>
      <c r="CN11" s="339">
        <f t="shared" si="3"/>
        <v>504</v>
      </c>
      <c r="CO11" s="339">
        <f t="shared" si="3"/>
        <v>284.00220000000013</v>
      </c>
      <c r="CP11" s="339">
        <f t="shared" si="3"/>
        <v>860.8000000000001</v>
      </c>
      <c r="CQ11" s="339">
        <f t="shared" si="3"/>
        <v>5819</v>
      </c>
      <c r="CR11" s="339">
        <f t="shared" si="3"/>
        <v>538</v>
      </c>
      <c r="CS11" s="339">
        <f t="shared" si="3"/>
        <v>0</v>
      </c>
      <c r="CT11" s="339">
        <f t="shared" si="3"/>
        <v>63</v>
      </c>
      <c r="CU11" s="339">
        <f t="shared" si="3"/>
        <v>65</v>
      </c>
      <c r="CV11" s="339">
        <f t="shared" si="3"/>
        <v>0</v>
      </c>
      <c r="CW11" s="339">
        <f t="shared" si="3"/>
        <v>2</v>
      </c>
      <c r="CX11" s="339">
        <f t="shared" si="3"/>
        <v>1168</v>
      </c>
      <c r="CY11" s="339">
        <f t="shared" si="3"/>
        <v>1053.5</v>
      </c>
      <c r="CZ11" s="339">
        <f t="shared" si="3"/>
        <v>117</v>
      </c>
      <c r="DA11" s="339">
        <f t="shared" si="3"/>
        <v>207</v>
      </c>
      <c r="DB11" s="339">
        <f t="shared" si="3"/>
        <v>3747</v>
      </c>
      <c r="DC11" s="339">
        <f t="shared" si="3"/>
        <v>3.79</v>
      </c>
      <c r="DD11" s="339">
        <f t="shared" si="3"/>
        <v>341051</v>
      </c>
      <c r="DE11" s="339">
        <f t="shared" si="3"/>
        <v>-1495</v>
      </c>
      <c r="DF11" s="339">
        <f t="shared" si="3"/>
        <v>0</v>
      </c>
      <c r="DG11" s="339">
        <f t="shared" si="3"/>
        <v>0</v>
      </c>
      <c r="DH11" s="339">
        <f t="shared" si="3"/>
        <v>0</v>
      </c>
      <c r="DI11" s="226">
        <f aca="true" t="shared" si="4" ref="DI11:DI58">CJ11-BD11</f>
        <v>242933</v>
      </c>
      <c r="DJ11" s="226">
        <f aca="true" t="shared" si="5" ref="DJ11:DJ58">CJ11-DI11</f>
        <v>145732</v>
      </c>
      <c r="DL11" s="220">
        <f aca="true" t="shared" si="6" ref="DL11:DL58">AX11+AY11</f>
        <v>5331</v>
      </c>
      <c r="DM11" s="227">
        <f aca="true" t="shared" si="7" ref="DM11:DM58">CC11+CF11</f>
        <v>0</v>
      </c>
      <c r="DN11" s="220">
        <f aca="true" t="shared" si="8" ref="DN11:DN58">BF11+BG11+BJ11+BK11+BL11+BM11+BN11+BR11+BU11+BW11+CH11+CI11</f>
        <v>139232</v>
      </c>
      <c r="DZ11" s="358">
        <f aca="true" t="shared" si="9" ref="DZ11:DZ56">CJ11-BD11</f>
        <v>242933</v>
      </c>
      <c r="EA11" s="358">
        <f aca="true" t="shared" si="10" ref="EA11:EA56">BD11</f>
        <v>145732</v>
      </c>
      <c r="EC11" s="229">
        <v>388665</v>
      </c>
      <c r="ED11" s="144">
        <f>EC11-CJ11</f>
        <v>0</v>
      </c>
    </row>
    <row r="12" spans="1:133" s="143" customFormat="1" ht="15.75">
      <c r="A12" s="337" t="s">
        <v>1</v>
      </c>
      <c r="B12" s="340" t="s">
        <v>343</v>
      </c>
      <c r="C12" s="341">
        <f>SUM(C13:C36)</f>
        <v>1349</v>
      </c>
      <c r="D12" s="341">
        <f>SUM(D13:D36)</f>
        <v>1288</v>
      </c>
      <c r="E12" s="341">
        <f>SUM(E13:E36)</f>
        <v>61</v>
      </c>
      <c r="F12" s="341">
        <f aca="true" t="shared" si="11" ref="F12:BO12">SUM(F13:F36)</f>
        <v>1272</v>
      </c>
      <c r="G12" s="341">
        <f t="shared" si="11"/>
        <v>1213</v>
      </c>
      <c r="H12" s="341">
        <f t="shared" si="11"/>
        <v>59</v>
      </c>
      <c r="I12" s="341">
        <f t="shared" si="11"/>
        <v>0</v>
      </c>
      <c r="J12" s="342">
        <f t="shared" si="11"/>
        <v>4234.16</v>
      </c>
      <c r="K12" s="342">
        <f t="shared" si="11"/>
        <v>4093.30264152</v>
      </c>
      <c r="L12" s="342">
        <f t="shared" si="11"/>
        <v>94.65</v>
      </c>
      <c r="M12" s="342">
        <f t="shared" si="11"/>
        <v>679.3999999999999</v>
      </c>
      <c r="N12" s="342">
        <f t="shared" si="11"/>
        <v>196.65099999999995</v>
      </c>
      <c r="O12" s="342">
        <f t="shared" si="11"/>
        <v>3.2000000000000006</v>
      </c>
      <c r="P12" s="342">
        <f t="shared" si="11"/>
        <v>1987.4598235999995</v>
      </c>
      <c r="Q12" s="342">
        <f t="shared" si="11"/>
        <v>41.370000000000005</v>
      </c>
      <c r="R12" s="342">
        <f t="shared" si="11"/>
        <v>502.1878899199999</v>
      </c>
      <c r="S12" s="342">
        <f t="shared" si="11"/>
        <v>353.01348</v>
      </c>
      <c r="T12" s="342">
        <f t="shared" si="11"/>
        <v>10.440448</v>
      </c>
      <c r="U12" s="342">
        <f t="shared" si="11"/>
        <v>191.10000000000002</v>
      </c>
      <c r="V12" s="342">
        <f t="shared" si="11"/>
        <v>0</v>
      </c>
      <c r="W12" s="342">
        <f t="shared" si="11"/>
        <v>4.73</v>
      </c>
      <c r="X12" s="342">
        <f t="shared" si="11"/>
        <v>29.099999999999994</v>
      </c>
      <c r="Y12" s="342">
        <f t="shared" si="11"/>
        <v>6308.8984</v>
      </c>
      <c r="Z12" s="342">
        <f t="shared" si="11"/>
        <v>266.76454</v>
      </c>
      <c r="AA12" s="342">
        <f t="shared" si="11"/>
        <v>6055.6619358648</v>
      </c>
      <c r="AB12" s="342">
        <f t="shared" si="11"/>
        <v>141.0285</v>
      </c>
      <c r="AC12" s="342">
        <f t="shared" si="11"/>
        <v>1012.306</v>
      </c>
      <c r="AD12" s="342">
        <f t="shared" si="11"/>
        <v>293.0099899999999</v>
      </c>
      <c r="AE12" s="342">
        <f t="shared" si="11"/>
        <v>4.768</v>
      </c>
      <c r="AF12" s="342">
        <f t="shared" si="11"/>
        <v>2961.3151371640006</v>
      </c>
      <c r="AG12" s="342">
        <f t="shared" si="11"/>
        <v>61.64130000000001</v>
      </c>
      <c r="AH12" s="342">
        <f t="shared" si="11"/>
        <v>748.2599559808</v>
      </c>
      <c r="AI12" s="342">
        <f t="shared" si="11"/>
        <v>525.9900852</v>
      </c>
      <c r="AJ12" s="342">
        <f t="shared" si="11"/>
        <v>15.556267519999999</v>
      </c>
      <c r="AK12" s="342">
        <f t="shared" si="11"/>
        <v>284.73900000000003</v>
      </c>
      <c r="AL12" s="342">
        <f t="shared" si="11"/>
        <v>0</v>
      </c>
      <c r="AM12" s="342">
        <f t="shared" si="11"/>
        <v>7.0477</v>
      </c>
      <c r="AN12" s="342">
        <f t="shared" si="11"/>
        <v>43.359</v>
      </c>
      <c r="AO12" s="342">
        <f t="shared" si="11"/>
        <v>12674.683875864801</v>
      </c>
      <c r="AP12" s="342">
        <f t="shared" si="11"/>
        <v>1757.9193009226879</v>
      </c>
      <c r="AQ12" s="342">
        <f t="shared" si="11"/>
        <v>173191.2381214499</v>
      </c>
      <c r="AR12" s="342">
        <f t="shared" si="11"/>
        <v>1185.86</v>
      </c>
      <c r="AS12" s="342">
        <f t="shared" si="11"/>
        <v>323.28600000000006</v>
      </c>
      <c r="AT12" s="342">
        <f t="shared" si="11"/>
        <v>0</v>
      </c>
      <c r="AU12" s="342">
        <f t="shared" si="11"/>
        <v>26017.287241424136</v>
      </c>
      <c r="AV12" s="342">
        <f t="shared" si="11"/>
        <v>21335.287241424132</v>
      </c>
      <c r="AW12" s="342">
        <f t="shared" si="11"/>
        <v>1247</v>
      </c>
      <c r="AX12" s="342">
        <f t="shared" si="11"/>
        <v>3080</v>
      </c>
      <c r="AY12" s="359">
        <f t="shared" si="11"/>
        <v>355</v>
      </c>
      <c r="AZ12" s="342">
        <f t="shared" si="11"/>
        <v>148684</v>
      </c>
      <c r="BA12" s="342">
        <f t="shared" si="11"/>
        <v>22401</v>
      </c>
      <c r="BB12" s="342">
        <f t="shared" si="11"/>
        <v>20901</v>
      </c>
      <c r="BC12" s="342">
        <f t="shared" si="11"/>
        <v>1500</v>
      </c>
      <c r="BD12" s="341">
        <f t="shared" si="11"/>
        <v>54099</v>
      </c>
      <c r="BE12" s="341">
        <f t="shared" si="11"/>
        <v>54099</v>
      </c>
      <c r="BF12" s="342">
        <f t="shared" si="11"/>
        <v>0</v>
      </c>
      <c r="BG12" s="341">
        <f t="shared" si="11"/>
        <v>6543</v>
      </c>
      <c r="BH12" s="341">
        <f t="shared" si="11"/>
        <v>1603</v>
      </c>
      <c r="BI12" s="341">
        <f t="shared" si="11"/>
        <v>4940</v>
      </c>
      <c r="BJ12" s="341">
        <f t="shared" si="11"/>
        <v>46654</v>
      </c>
      <c r="BK12" s="341">
        <f t="shared" si="11"/>
        <v>33</v>
      </c>
      <c r="BL12" s="341">
        <f t="shared" si="11"/>
        <v>869</v>
      </c>
      <c r="BM12" s="341">
        <f t="shared" si="11"/>
        <v>0</v>
      </c>
      <c r="BN12" s="341">
        <f t="shared" si="11"/>
        <v>0</v>
      </c>
      <c r="BO12" s="341">
        <f t="shared" si="11"/>
        <v>0</v>
      </c>
      <c r="BP12" s="341">
        <f aca="true" t="shared" si="12" ref="BP12:CJ12">SUM(BP13:BP36)</f>
        <v>0</v>
      </c>
      <c r="BQ12" s="341">
        <f t="shared" si="12"/>
        <v>0</v>
      </c>
      <c r="BR12" s="341">
        <f t="shared" si="12"/>
        <v>0</v>
      </c>
      <c r="BS12" s="341">
        <f t="shared" si="12"/>
        <v>0</v>
      </c>
      <c r="BT12" s="341">
        <f t="shared" si="12"/>
        <v>0</v>
      </c>
      <c r="BU12" s="341">
        <f t="shared" si="12"/>
        <v>0</v>
      </c>
      <c r="BV12" s="341">
        <f t="shared" si="12"/>
        <v>0</v>
      </c>
      <c r="BW12" s="341">
        <f t="shared" si="12"/>
        <v>0</v>
      </c>
      <c r="BX12" s="341">
        <f t="shared" si="12"/>
        <v>0</v>
      </c>
      <c r="BY12" s="341">
        <f t="shared" si="12"/>
        <v>0</v>
      </c>
      <c r="BZ12" s="341">
        <f t="shared" si="12"/>
        <v>0</v>
      </c>
      <c r="CA12" s="341">
        <f t="shared" si="12"/>
        <v>0</v>
      </c>
      <c r="CB12" s="341">
        <f t="shared" si="12"/>
        <v>0</v>
      </c>
      <c r="CC12" s="341">
        <f t="shared" si="12"/>
        <v>0</v>
      </c>
      <c r="CD12" s="341">
        <f t="shared" si="12"/>
        <v>0</v>
      </c>
      <c r="CE12" s="341">
        <f t="shared" si="12"/>
        <v>0</v>
      </c>
      <c r="CF12" s="341">
        <f t="shared" si="12"/>
        <v>0</v>
      </c>
      <c r="CG12" s="341">
        <f t="shared" si="12"/>
        <v>0</v>
      </c>
      <c r="CH12" s="341">
        <f t="shared" si="12"/>
        <v>0</v>
      </c>
      <c r="CI12" s="341">
        <f t="shared" si="12"/>
        <v>0</v>
      </c>
      <c r="CJ12" s="341">
        <f t="shared" si="12"/>
        <v>225184</v>
      </c>
      <c r="CK12" s="256"/>
      <c r="CL12" s="256"/>
      <c r="CM12" s="257">
        <v>154181</v>
      </c>
      <c r="CN12" s="257"/>
      <c r="CO12" s="257"/>
      <c r="CP12" s="221">
        <f aca="true" t="shared" si="13" ref="CP12:CP51">BH12*40%</f>
        <v>641.2</v>
      </c>
      <c r="CQ12" s="221">
        <f>CM12-AZ12</f>
        <v>5497</v>
      </c>
      <c r="CR12" s="256"/>
      <c r="CS12" s="256"/>
      <c r="CT12" s="256"/>
      <c r="CU12" s="256"/>
      <c r="CV12" s="256"/>
      <c r="CW12" s="256"/>
      <c r="CX12" s="342">
        <f>SUM(CX13:CX36)</f>
        <v>938</v>
      </c>
      <c r="CY12" s="342">
        <f>SUM(CY13:CY36)</f>
        <v>821</v>
      </c>
      <c r="CZ12" s="221">
        <f>CX12-CY12</f>
        <v>117</v>
      </c>
      <c r="DA12" s="256"/>
      <c r="DB12" s="342">
        <f>SUM(DB13:DB36)</f>
        <v>3745</v>
      </c>
      <c r="DC12" s="256"/>
      <c r="DD12" s="360">
        <f>'[2]Biểu 38'!AT20</f>
        <v>226781</v>
      </c>
      <c r="DE12" s="221">
        <f>CJ12-DD12</f>
        <v>-1597</v>
      </c>
      <c r="DF12" s="256"/>
      <c r="DG12" s="256"/>
      <c r="DH12" s="256"/>
      <c r="DI12" s="226">
        <f t="shared" si="4"/>
        <v>171085</v>
      </c>
      <c r="DJ12" s="226">
        <f t="shared" si="5"/>
        <v>54099</v>
      </c>
      <c r="DK12" s="256"/>
      <c r="DL12" s="220">
        <f t="shared" si="6"/>
        <v>3435</v>
      </c>
      <c r="DM12" s="227">
        <f t="shared" si="7"/>
        <v>0</v>
      </c>
      <c r="DN12" s="220">
        <f t="shared" si="8"/>
        <v>54099</v>
      </c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358">
        <f t="shared" si="9"/>
        <v>171085</v>
      </c>
      <c r="EA12" s="358">
        <f t="shared" si="10"/>
        <v>54099</v>
      </c>
      <c r="EB12" s="256"/>
      <c r="EC12" s="256"/>
    </row>
    <row r="13" spans="1:131" ht="15.75">
      <c r="A13" s="204">
        <v>1</v>
      </c>
      <c r="B13" s="343" t="s">
        <v>344</v>
      </c>
      <c r="C13" s="206">
        <f aca="true" t="shared" si="14" ref="C13:C35">SUM(D13:E13)</f>
        <v>51</v>
      </c>
      <c r="D13" s="207">
        <v>48</v>
      </c>
      <c r="E13" s="207">
        <v>3</v>
      </c>
      <c r="F13" s="206">
        <f>SUM(G13:H13)</f>
        <v>50</v>
      </c>
      <c r="G13" s="206">
        <v>48</v>
      </c>
      <c r="H13" s="206">
        <v>2</v>
      </c>
      <c r="I13" s="206"/>
      <c r="J13" s="208">
        <v>165.07</v>
      </c>
      <c r="K13" s="208">
        <f>SUM(L13:X13)</f>
        <v>108.3741</v>
      </c>
      <c r="L13" s="208">
        <v>3.5</v>
      </c>
      <c r="M13" s="208">
        <v>24.2</v>
      </c>
      <c r="N13" s="208">
        <v>2.331</v>
      </c>
      <c r="O13" s="208">
        <v>0.2</v>
      </c>
      <c r="P13" s="208">
        <v>57.01850000000001</v>
      </c>
      <c r="Q13" s="208">
        <v>0.6</v>
      </c>
      <c r="R13" s="208">
        <v>19.0246</v>
      </c>
      <c r="S13" s="208"/>
      <c r="T13" s="208"/>
      <c r="U13" s="208"/>
      <c r="V13" s="208"/>
      <c r="W13" s="208"/>
      <c r="X13" s="208">
        <v>1.5</v>
      </c>
      <c r="Y13" s="208">
        <f aca="true" t="shared" si="15" ref="Y13:Y36">J13*1.49</f>
        <v>245.9543</v>
      </c>
      <c r="Z13" s="208">
        <v>6.14</v>
      </c>
      <c r="AA13" s="208">
        <f>SUM(AB13:AM13)</f>
        <v>159.242409</v>
      </c>
      <c r="AB13" s="208">
        <f aca="true" t="shared" si="16" ref="AB13:AN32">L13*1.49</f>
        <v>5.215</v>
      </c>
      <c r="AC13" s="208">
        <f t="shared" si="16"/>
        <v>36.058</v>
      </c>
      <c r="AD13" s="208">
        <f t="shared" si="16"/>
        <v>3.4731899999999998</v>
      </c>
      <c r="AE13" s="208">
        <f t="shared" si="16"/>
        <v>0.298</v>
      </c>
      <c r="AF13" s="208">
        <f t="shared" si="16"/>
        <v>84.95756500000002</v>
      </c>
      <c r="AG13" s="208">
        <f t="shared" si="16"/>
        <v>0.894</v>
      </c>
      <c r="AH13" s="208">
        <f t="shared" si="16"/>
        <v>28.346653999999997</v>
      </c>
      <c r="AI13" s="208">
        <f t="shared" si="16"/>
        <v>0</v>
      </c>
      <c r="AJ13" s="208">
        <f t="shared" si="16"/>
        <v>0</v>
      </c>
      <c r="AK13" s="208">
        <f t="shared" si="16"/>
        <v>0</v>
      </c>
      <c r="AL13" s="208">
        <f t="shared" si="16"/>
        <v>0</v>
      </c>
      <c r="AM13" s="208">
        <f t="shared" si="16"/>
        <v>0</v>
      </c>
      <c r="AN13" s="208">
        <f t="shared" si="16"/>
        <v>2.235</v>
      </c>
      <c r="AO13" s="208">
        <f>Y13+Z13+AA13+AN13</f>
        <v>413.571709</v>
      </c>
      <c r="AP13" s="208">
        <f>((J13+L13+R13+T13)*1.49+Z13)*23.5%</f>
        <v>67.12914918999998</v>
      </c>
      <c r="AQ13" s="208">
        <f>(AO13+AP13)*12</f>
        <v>5768.41029828</v>
      </c>
      <c r="AR13" s="209">
        <v>67.35</v>
      </c>
      <c r="AS13" s="210">
        <v>13.6</v>
      </c>
      <c r="AT13" s="211"/>
      <c r="AU13" s="212">
        <f>SUM(AV13:AY13)</f>
        <v>907.58810788156</v>
      </c>
      <c r="AV13" s="213">
        <f>AQ13*12.7%</f>
        <v>732.58810788156</v>
      </c>
      <c r="AW13" s="214">
        <f>CN13</f>
        <v>33</v>
      </c>
      <c r="AX13" s="214">
        <f>ROUND((BB13+BC13)*13.75%,0)</f>
        <v>127</v>
      </c>
      <c r="AY13" s="215">
        <f>ROUND(AX13*11.65%,0)</f>
        <v>15</v>
      </c>
      <c r="AZ13" s="213">
        <f>ROUND(AQ13+AR13+AS13+AT13-AU13,0)</f>
        <v>4942</v>
      </c>
      <c r="BA13" s="216">
        <f>SUM(BB13:BC13)</f>
        <v>925</v>
      </c>
      <c r="BB13" s="213">
        <f aca="true" t="shared" si="17" ref="BB13:BB36">ROUND(F13*CT13,0)</f>
        <v>925</v>
      </c>
      <c r="BC13" s="211"/>
      <c r="BD13" s="217">
        <f aca="true" t="shared" si="18" ref="BD13:BD58">BE13+BO13+BV13+BW13+CH13+CI13</f>
        <v>1799</v>
      </c>
      <c r="BE13" s="215">
        <f>BF13+BG13+BJ13+BK13+BL13+BM13+BN13</f>
        <v>1799</v>
      </c>
      <c r="BF13" s="216"/>
      <c r="BG13" s="215">
        <f>SUM(BH13:BI13)</f>
        <v>258</v>
      </c>
      <c r="BH13" s="215">
        <v>52</v>
      </c>
      <c r="BI13" s="215">
        <f>179+27</f>
        <v>206</v>
      </c>
      <c r="BJ13" s="215">
        <v>1494</v>
      </c>
      <c r="BK13" s="215"/>
      <c r="BL13" s="215">
        <v>47</v>
      </c>
      <c r="BM13" s="215"/>
      <c r="BN13" s="215"/>
      <c r="BO13" s="215">
        <f>SUM(BP13:BU13)</f>
        <v>0</v>
      </c>
      <c r="BP13" s="217"/>
      <c r="BQ13" s="217"/>
      <c r="BR13" s="217"/>
      <c r="BS13" s="217"/>
      <c r="BT13" s="217"/>
      <c r="BU13" s="217"/>
      <c r="BV13" s="217"/>
      <c r="BW13" s="215">
        <f>SUM(BX13:CG13)</f>
        <v>0</v>
      </c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5"/>
      <c r="CI13" s="215"/>
      <c r="CJ13" s="215">
        <f aca="true" t="shared" si="19" ref="CJ13:CJ36">AZ13+BA13+BD13</f>
        <v>7666</v>
      </c>
      <c r="CL13" s="220"/>
      <c r="CN13" s="220">
        <f>ROUND(CO13+CP13,0)</f>
        <v>33</v>
      </c>
      <c r="CO13" s="220">
        <f>'[2]Thu'!T30</f>
        <v>12</v>
      </c>
      <c r="CP13" s="221">
        <f t="shared" si="13"/>
        <v>20.8</v>
      </c>
      <c r="CQ13" s="219">
        <v>14</v>
      </c>
      <c r="CR13" s="220">
        <f aca="true" t="shared" si="20" ref="CR13:CR48">ROUND(CP13+CQ13,0)</f>
        <v>35</v>
      </c>
      <c r="CT13" s="219">
        <f>CU13+CV13-CW13</f>
        <v>18.5</v>
      </c>
      <c r="CU13" s="222">
        <f aca="true" t="shared" si="21" ref="CU13:CU36">IF(C13&lt;=40,20,IF(C13&lt;=60,18,IF(C13&lt;=70,16,14)))</f>
        <v>18</v>
      </c>
      <c r="CV13" s="223">
        <v>0.5</v>
      </c>
      <c r="CY13" s="224">
        <f>CV13*F13</f>
        <v>25</v>
      </c>
      <c r="DB13" s="225">
        <f aca="true" t="shared" si="22" ref="DB13:DB36">ROUND(DC13*BI13,0)</f>
        <v>156</v>
      </c>
      <c r="DC13" s="219">
        <v>0.758</v>
      </c>
      <c r="DD13" s="225">
        <f>'[2]Biểu 38'!AT21</f>
        <v>7746</v>
      </c>
      <c r="DE13" s="221">
        <f aca="true" t="shared" si="23" ref="DE13:DE36">CJ13-DD13</f>
        <v>-80</v>
      </c>
      <c r="DI13" s="226">
        <f>CJ13-BD13</f>
        <v>5867</v>
      </c>
      <c r="DJ13" s="226">
        <f t="shared" si="5"/>
        <v>1799</v>
      </c>
      <c r="DL13" s="220">
        <f t="shared" si="6"/>
        <v>142</v>
      </c>
      <c r="DM13" s="227">
        <f t="shared" si="7"/>
        <v>0</v>
      </c>
      <c r="DN13" s="220">
        <f t="shared" si="8"/>
        <v>1799</v>
      </c>
      <c r="DQ13" s="361" t="s">
        <v>455</v>
      </c>
      <c r="DZ13" s="229">
        <f t="shared" si="9"/>
        <v>5867</v>
      </c>
      <c r="EA13" s="229">
        <f t="shared" si="10"/>
        <v>1799</v>
      </c>
    </row>
    <row r="14" spans="1:131" ht="16.5">
      <c r="A14" s="204">
        <v>2</v>
      </c>
      <c r="B14" s="343" t="s">
        <v>345</v>
      </c>
      <c r="C14" s="206">
        <f t="shared" si="14"/>
        <v>58</v>
      </c>
      <c r="D14" s="207">
        <v>56</v>
      </c>
      <c r="E14" s="207">
        <v>2</v>
      </c>
      <c r="F14" s="206">
        <f aca="true" t="shared" si="24" ref="F14:F58">SUM(G14:H14)</f>
        <v>57</v>
      </c>
      <c r="G14" s="206">
        <v>55</v>
      </c>
      <c r="H14" s="206">
        <v>2</v>
      </c>
      <c r="I14" s="206"/>
      <c r="J14" s="208">
        <v>179.58</v>
      </c>
      <c r="K14" s="208">
        <f>SUM(L14:X14)</f>
        <v>117.2997</v>
      </c>
      <c r="L14" s="208">
        <v>4.35</v>
      </c>
      <c r="M14" s="208">
        <v>27.7</v>
      </c>
      <c r="N14" s="208">
        <v>1.869</v>
      </c>
      <c r="O14" s="208">
        <v>0.2</v>
      </c>
      <c r="P14" s="208">
        <v>63.4235</v>
      </c>
      <c r="Q14" s="208">
        <v>1.2</v>
      </c>
      <c r="R14" s="208">
        <v>15.972000000000005</v>
      </c>
      <c r="S14" s="208">
        <v>0.801</v>
      </c>
      <c r="T14" s="208">
        <v>0.2842</v>
      </c>
      <c r="U14" s="208"/>
      <c r="V14" s="208"/>
      <c r="W14" s="208"/>
      <c r="X14" s="208">
        <v>1.5</v>
      </c>
      <c r="Y14" s="208">
        <f t="shared" si="15"/>
        <v>267.5742</v>
      </c>
      <c r="Z14" s="208">
        <v>7.391</v>
      </c>
      <c r="AA14" s="208">
        <f aca="true" t="shared" si="25" ref="AA14:AA58">SUM(AB14:AM14)</f>
        <v>172.54155300000002</v>
      </c>
      <c r="AB14" s="208">
        <f t="shared" si="16"/>
        <v>6.4815</v>
      </c>
      <c r="AC14" s="208">
        <f t="shared" si="16"/>
        <v>41.272999999999996</v>
      </c>
      <c r="AD14" s="208">
        <f t="shared" si="16"/>
        <v>2.78481</v>
      </c>
      <c r="AE14" s="208">
        <f t="shared" si="16"/>
        <v>0.298</v>
      </c>
      <c r="AF14" s="208">
        <f t="shared" si="16"/>
        <v>94.501015</v>
      </c>
      <c r="AG14" s="208">
        <f t="shared" si="16"/>
        <v>1.788</v>
      </c>
      <c r="AH14" s="208">
        <f t="shared" si="16"/>
        <v>23.798280000000005</v>
      </c>
      <c r="AI14" s="208">
        <f t="shared" si="16"/>
        <v>1.1934900000000002</v>
      </c>
      <c r="AJ14" s="208">
        <f t="shared" si="16"/>
        <v>0.423458</v>
      </c>
      <c r="AK14" s="208">
        <f t="shared" si="16"/>
        <v>0</v>
      </c>
      <c r="AL14" s="208">
        <f t="shared" si="16"/>
        <v>0</v>
      </c>
      <c r="AM14" s="208">
        <f t="shared" si="16"/>
        <v>0</v>
      </c>
      <c r="AN14" s="208">
        <f t="shared" si="16"/>
        <v>2.235</v>
      </c>
      <c r="AO14" s="208">
        <f aca="true" t="shared" si="26" ref="AO14:AO58">Y14+Z14+AA14+AN14</f>
        <v>449.7417530000001</v>
      </c>
      <c r="AP14" s="208">
        <f aca="true" t="shared" si="27" ref="AP14:AP58">((J14+L14+R14+T14)*1.49+Z14)*23.5%</f>
        <v>71.83208293</v>
      </c>
      <c r="AQ14" s="208">
        <f aca="true" t="shared" si="28" ref="AQ14:AQ58">(AO14+AP14)*12</f>
        <v>6258.886031160001</v>
      </c>
      <c r="AR14" s="241">
        <v>44.28</v>
      </c>
      <c r="AS14" s="210">
        <v>11.42</v>
      </c>
      <c r="AT14" s="211"/>
      <c r="AU14" s="231">
        <f aca="true" t="shared" si="29" ref="AU14:AU52">SUM(AV14:AY14)</f>
        <v>1003.8785259573201</v>
      </c>
      <c r="AV14" s="213">
        <f aca="true" t="shared" si="30" ref="AV14:AV36">AQ14*12.7%</f>
        <v>794.8785259573201</v>
      </c>
      <c r="AW14" s="214">
        <f aca="true" t="shared" si="31" ref="AW14:AW49">CN14</f>
        <v>47</v>
      </c>
      <c r="AX14" s="214">
        <f aca="true" t="shared" si="32" ref="AX14:AX49">ROUND((BB14+BC14)*13.75%,0)</f>
        <v>145</v>
      </c>
      <c r="AY14" s="215">
        <f aca="true" t="shared" si="33" ref="AY14:AY49">ROUND(AX14*11.65%,0)</f>
        <v>17</v>
      </c>
      <c r="AZ14" s="213">
        <f aca="true" t="shared" si="34" ref="AZ14:AZ49">ROUND(AQ14+AR14+AS14+AT14-AU14,0)</f>
        <v>5311</v>
      </c>
      <c r="BA14" s="216">
        <f aca="true" t="shared" si="35" ref="BA14:BA58">SUM(BB14:BC14)</f>
        <v>1055</v>
      </c>
      <c r="BB14" s="213">
        <f t="shared" si="17"/>
        <v>1055</v>
      </c>
      <c r="BC14" s="211"/>
      <c r="BD14" s="217">
        <f>BE14+BO14+BV14+BW14+CH14+CI14</f>
        <v>4283</v>
      </c>
      <c r="BE14" s="215">
        <f>BF14+BG14+BJ14+BK14+BL14+BM14+BN14</f>
        <v>4283</v>
      </c>
      <c r="BF14" s="216"/>
      <c r="BG14" s="217">
        <f aca="true" t="shared" si="36" ref="BG14:BG56">SUM(BH14:BI14)</f>
        <v>478</v>
      </c>
      <c r="BH14" s="217">
        <v>91</v>
      </c>
      <c r="BI14" s="217">
        <v>387</v>
      </c>
      <c r="BJ14" s="217">
        <v>3793</v>
      </c>
      <c r="BK14" s="217"/>
      <c r="BL14" s="217">
        <v>12</v>
      </c>
      <c r="BM14" s="217"/>
      <c r="BN14" s="217"/>
      <c r="BO14" s="215">
        <f>SUM(BP14:BU14)</f>
        <v>0</v>
      </c>
      <c r="BP14" s="217"/>
      <c r="BQ14" s="217"/>
      <c r="BR14" s="217"/>
      <c r="BS14" s="217"/>
      <c r="BT14" s="217"/>
      <c r="BU14" s="217"/>
      <c r="BV14" s="217"/>
      <c r="BW14" s="217">
        <f aca="true" t="shared" si="37" ref="BW14:BW58">SUM(BX14:CG14)</f>
        <v>0</v>
      </c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8"/>
      <c r="CJ14" s="215">
        <f t="shared" si="19"/>
        <v>10649</v>
      </c>
      <c r="CN14" s="220">
        <f aca="true" t="shared" si="38" ref="CN14:CN52">ROUND(CO14+CP14,0)</f>
        <v>47</v>
      </c>
      <c r="CO14" s="220">
        <f>'[2]Thu'!T37</f>
        <v>10.5064</v>
      </c>
      <c r="CP14" s="221">
        <f t="shared" si="13"/>
        <v>36.4</v>
      </c>
      <c r="CQ14" s="219">
        <v>14</v>
      </c>
      <c r="CR14" s="220">
        <f t="shared" si="20"/>
        <v>50</v>
      </c>
      <c r="CT14" s="219">
        <f aca="true" t="shared" si="39" ref="CT14:CT48">CU14+CV14-CW14</f>
        <v>18.5</v>
      </c>
      <c r="CU14" s="222">
        <f t="shared" si="21"/>
        <v>18</v>
      </c>
      <c r="CV14" s="223">
        <v>0.5</v>
      </c>
      <c r="CY14" s="224">
        <f>CV14*F14</f>
        <v>28.5</v>
      </c>
      <c r="DB14" s="225">
        <f t="shared" si="22"/>
        <v>293</v>
      </c>
      <c r="DC14" s="219">
        <v>0.758</v>
      </c>
      <c r="DD14" s="225">
        <f>'[2]Biểu 38'!AT22</f>
        <v>10726</v>
      </c>
      <c r="DE14" s="221">
        <f t="shared" si="23"/>
        <v>-77</v>
      </c>
      <c r="DI14" s="226">
        <f t="shared" si="4"/>
        <v>6366</v>
      </c>
      <c r="DJ14" s="226">
        <f t="shared" si="5"/>
        <v>4283</v>
      </c>
      <c r="DL14" s="220">
        <f t="shared" si="6"/>
        <v>162</v>
      </c>
      <c r="DM14" s="227">
        <f t="shared" si="7"/>
        <v>0</v>
      </c>
      <c r="DN14" s="220">
        <f t="shared" si="8"/>
        <v>4283</v>
      </c>
      <c r="DQ14" s="228" t="s">
        <v>345</v>
      </c>
      <c r="DZ14" s="229">
        <f t="shared" si="9"/>
        <v>6366</v>
      </c>
      <c r="EA14" s="229">
        <f t="shared" si="10"/>
        <v>4283</v>
      </c>
    </row>
    <row r="15" spans="1:131" ht="15.75">
      <c r="A15" s="230">
        <v>3</v>
      </c>
      <c r="B15" s="205" t="s">
        <v>346</v>
      </c>
      <c r="C15" s="206">
        <f t="shared" si="14"/>
        <v>72</v>
      </c>
      <c r="D15" s="207">
        <v>69</v>
      </c>
      <c r="E15" s="207">
        <v>3</v>
      </c>
      <c r="F15" s="206">
        <f t="shared" si="24"/>
        <v>72</v>
      </c>
      <c r="G15" s="206">
        <v>69</v>
      </c>
      <c r="H15" s="206">
        <v>3</v>
      </c>
      <c r="I15" s="206"/>
      <c r="J15" s="208">
        <v>242.72</v>
      </c>
      <c r="K15" s="208">
        <f aca="true" t="shared" si="40" ref="K15:K58">SUM(L15:X15)</f>
        <v>170.93919999999997</v>
      </c>
      <c r="L15" s="208">
        <v>5.15</v>
      </c>
      <c r="M15" s="208">
        <v>35.1</v>
      </c>
      <c r="N15" s="208">
        <v>10.017</v>
      </c>
      <c r="O15" s="208">
        <v>0.2</v>
      </c>
      <c r="P15" s="208">
        <v>88.44299999999997</v>
      </c>
      <c r="Q15" s="208">
        <v>1</v>
      </c>
      <c r="R15" s="208">
        <v>27.831199999999995</v>
      </c>
      <c r="S15" s="208">
        <v>1.098</v>
      </c>
      <c r="T15" s="208"/>
      <c r="U15" s="208"/>
      <c r="V15" s="208"/>
      <c r="W15" s="208"/>
      <c r="X15" s="208">
        <v>2.1</v>
      </c>
      <c r="Y15" s="208">
        <f t="shared" si="15"/>
        <v>361.6528</v>
      </c>
      <c r="Z15" s="208">
        <v>9.21</v>
      </c>
      <c r="AA15" s="208">
        <f t="shared" si="25"/>
        <v>251.57040799999996</v>
      </c>
      <c r="AB15" s="208">
        <f t="shared" si="16"/>
        <v>7.673500000000001</v>
      </c>
      <c r="AC15" s="208">
        <f t="shared" si="16"/>
        <v>52.299</v>
      </c>
      <c r="AD15" s="208">
        <f t="shared" si="16"/>
        <v>14.925329999999999</v>
      </c>
      <c r="AE15" s="208">
        <f t="shared" si="16"/>
        <v>0.298</v>
      </c>
      <c r="AF15" s="208">
        <f t="shared" si="16"/>
        <v>131.78006999999997</v>
      </c>
      <c r="AG15" s="208">
        <f t="shared" si="16"/>
        <v>1.49</v>
      </c>
      <c r="AH15" s="208">
        <f t="shared" si="16"/>
        <v>41.468487999999994</v>
      </c>
      <c r="AI15" s="208">
        <f t="shared" si="16"/>
        <v>1.63602</v>
      </c>
      <c r="AJ15" s="208">
        <f t="shared" si="16"/>
        <v>0</v>
      </c>
      <c r="AK15" s="208">
        <f t="shared" si="16"/>
        <v>0</v>
      </c>
      <c r="AL15" s="208">
        <f t="shared" si="16"/>
        <v>0</v>
      </c>
      <c r="AM15" s="208">
        <f t="shared" si="16"/>
        <v>0</v>
      </c>
      <c r="AN15" s="208">
        <f t="shared" si="16"/>
        <v>3.129</v>
      </c>
      <c r="AO15" s="208">
        <f t="shared" si="26"/>
        <v>625.5622079999999</v>
      </c>
      <c r="AP15" s="208">
        <f t="shared" si="27"/>
        <v>98.70112517999999</v>
      </c>
      <c r="AQ15" s="208">
        <f t="shared" si="28"/>
        <v>8691.15999816</v>
      </c>
      <c r="AR15" s="209">
        <v>64.43</v>
      </c>
      <c r="AS15" s="210">
        <v>16.02</v>
      </c>
      <c r="AT15" s="211"/>
      <c r="AU15" s="231">
        <f>SUM(AV15:AY15)</f>
        <v>964.77731976632</v>
      </c>
      <c r="AV15" s="213">
        <f>AQ15*12.7%-387</f>
        <v>716.77731976632</v>
      </c>
      <c r="AW15" s="214">
        <f t="shared" si="31"/>
        <v>82</v>
      </c>
      <c r="AX15" s="214">
        <f t="shared" si="32"/>
        <v>149</v>
      </c>
      <c r="AY15" s="215">
        <f t="shared" si="33"/>
        <v>17</v>
      </c>
      <c r="AZ15" s="213">
        <f>ROUND(AQ15+AR15+AS15+AT15-AU15,0)</f>
        <v>7807</v>
      </c>
      <c r="BA15" s="216">
        <f t="shared" si="35"/>
        <v>1080</v>
      </c>
      <c r="BB15" s="213">
        <f t="shared" si="17"/>
        <v>1080</v>
      </c>
      <c r="BC15" s="211"/>
      <c r="BD15" s="217">
        <f t="shared" si="18"/>
        <v>3660</v>
      </c>
      <c r="BE15" s="215">
        <f aca="true" t="shared" si="41" ref="BE15:BE58">BF15+BG15+BJ15+BK15+BL15+BM15+BN15</f>
        <v>3660</v>
      </c>
      <c r="BF15" s="216"/>
      <c r="BG15" s="217">
        <f t="shared" si="36"/>
        <v>355</v>
      </c>
      <c r="BH15" s="217">
        <v>105</v>
      </c>
      <c r="BI15" s="217">
        <v>250</v>
      </c>
      <c r="BJ15" s="217">
        <v>3153</v>
      </c>
      <c r="BK15" s="217"/>
      <c r="BL15" s="217">
        <v>152</v>
      </c>
      <c r="BM15" s="217"/>
      <c r="BN15" s="217"/>
      <c r="BO15" s="215">
        <f aca="true" t="shared" si="42" ref="BO15:BO50">SUM(BP15:BU15)</f>
        <v>0</v>
      </c>
      <c r="BP15" s="217"/>
      <c r="BQ15" s="217"/>
      <c r="BR15" s="217"/>
      <c r="BS15" s="217"/>
      <c r="BT15" s="217"/>
      <c r="BU15" s="217"/>
      <c r="BV15" s="217"/>
      <c r="BW15" s="217">
        <f t="shared" si="37"/>
        <v>0</v>
      </c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5">
        <f t="shared" si="19"/>
        <v>12547</v>
      </c>
      <c r="CN15" s="220">
        <f t="shared" si="38"/>
        <v>82</v>
      </c>
      <c r="CO15" s="220">
        <f>'[2]Thu'!T44</f>
        <v>40</v>
      </c>
      <c r="CP15" s="221">
        <f t="shared" si="13"/>
        <v>42</v>
      </c>
      <c r="CQ15" s="219">
        <v>36</v>
      </c>
      <c r="CR15" s="220">
        <f t="shared" si="20"/>
        <v>78</v>
      </c>
      <c r="CT15" s="219">
        <f t="shared" si="39"/>
        <v>15</v>
      </c>
      <c r="CU15" s="222">
        <f t="shared" si="21"/>
        <v>14</v>
      </c>
      <c r="CV15" s="223">
        <v>1</v>
      </c>
      <c r="CY15" s="224">
        <f>CV15*F15</f>
        <v>72</v>
      </c>
      <c r="DB15" s="225">
        <f t="shared" si="22"/>
        <v>190</v>
      </c>
      <c r="DC15" s="219">
        <v>0.758</v>
      </c>
      <c r="DD15" s="225">
        <f>'[2]Biểu 38'!AT23</f>
        <v>12279</v>
      </c>
      <c r="DE15" s="221">
        <f t="shared" si="23"/>
        <v>268</v>
      </c>
      <c r="DI15" s="226">
        <f t="shared" si="4"/>
        <v>8887</v>
      </c>
      <c r="DJ15" s="226">
        <f t="shared" si="5"/>
        <v>3660</v>
      </c>
      <c r="DL15" s="220">
        <f t="shared" si="6"/>
        <v>166</v>
      </c>
      <c r="DM15" s="227">
        <f t="shared" si="7"/>
        <v>0</v>
      </c>
      <c r="DN15" s="220">
        <f t="shared" si="8"/>
        <v>3660</v>
      </c>
      <c r="DQ15" s="263" t="s">
        <v>346</v>
      </c>
      <c r="DZ15" s="229">
        <f t="shared" si="9"/>
        <v>8887</v>
      </c>
      <c r="EA15" s="229">
        <f t="shared" si="10"/>
        <v>3660</v>
      </c>
    </row>
    <row r="16" spans="1:131" ht="15.75">
      <c r="A16" s="230">
        <v>4</v>
      </c>
      <c r="B16" s="205" t="s">
        <v>347</v>
      </c>
      <c r="C16" s="206">
        <f t="shared" si="14"/>
        <v>44</v>
      </c>
      <c r="D16" s="207">
        <v>41</v>
      </c>
      <c r="E16" s="207">
        <v>3</v>
      </c>
      <c r="F16" s="206">
        <f t="shared" si="24"/>
        <v>39</v>
      </c>
      <c r="G16" s="206">
        <v>36</v>
      </c>
      <c r="H16" s="206">
        <v>3</v>
      </c>
      <c r="I16" s="206"/>
      <c r="J16" s="208">
        <v>128.77</v>
      </c>
      <c r="K16" s="208">
        <f t="shared" si="40"/>
        <v>81.55179999999999</v>
      </c>
      <c r="L16" s="208">
        <v>3.1</v>
      </c>
      <c r="M16" s="208">
        <v>18</v>
      </c>
      <c r="N16" s="208"/>
      <c r="O16" s="208">
        <v>0.2</v>
      </c>
      <c r="P16" s="208">
        <v>43.56099999999999</v>
      </c>
      <c r="Q16" s="208">
        <v>0.6</v>
      </c>
      <c r="R16" s="208">
        <v>16.0908</v>
      </c>
      <c r="S16" s="208"/>
      <c r="T16" s="208"/>
      <c r="U16" s="208"/>
      <c r="V16" s="208"/>
      <c r="W16" s="208"/>
      <c r="X16" s="208"/>
      <c r="Y16" s="208">
        <f t="shared" si="15"/>
        <v>191.8673</v>
      </c>
      <c r="Z16" s="208">
        <v>6.14</v>
      </c>
      <c r="AA16" s="208">
        <f t="shared" si="25"/>
        <v>121.512182</v>
      </c>
      <c r="AB16" s="208">
        <f t="shared" si="16"/>
        <v>4.619</v>
      </c>
      <c r="AC16" s="208">
        <f t="shared" si="16"/>
        <v>26.82</v>
      </c>
      <c r="AD16" s="208">
        <f t="shared" si="16"/>
        <v>0</v>
      </c>
      <c r="AE16" s="208">
        <f t="shared" si="16"/>
        <v>0.298</v>
      </c>
      <c r="AF16" s="208">
        <f t="shared" si="16"/>
        <v>64.90588999999999</v>
      </c>
      <c r="AG16" s="208">
        <f t="shared" si="16"/>
        <v>0.894</v>
      </c>
      <c r="AH16" s="208">
        <f t="shared" si="16"/>
        <v>23.975292000000003</v>
      </c>
      <c r="AI16" s="208">
        <f t="shared" si="16"/>
        <v>0</v>
      </c>
      <c r="AJ16" s="208">
        <f t="shared" si="16"/>
        <v>0</v>
      </c>
      <c r="AK16" s="208">
        <f t="shared" si="16"/>
        <v>0</v>
      </c>
      <c r="AL16" s="208">
        <f t="shared" si="16"/>
        <v>0</v>
      </c>
      <c r="AM16" s="208">
        <f t="shared" si="16"/>
        <v>0</v>
      </c>
      <c r="AN16" s="208">
        <f t="shared" si="16"/>
        <v>0</v>
      </c>
      <c r="AO16" s="208">
        <f t="shared" si="26"/>
        <v>319.519482</v>
      </c>
      <c r="AP16" s="208">
        <f t="shared" si="27"/>
        <v>53.251374119999994</v>
      </c>
      <c r="AQ16" s="208">
        <f t="shared" si="28"/>
        <v>4473.25027344</v>
      </c>
      <c r="AR16" s="209">
        <v>21.33</v>
      </c>
      <c r="AS16" s="210">
        <v>11.42</v>
      </c>
      <c r="AT16" s="211"/>
      <c r="AU16" s="231">
        <f t="shared" si="29"/>
        <v>496.1027847268799</v>
      </c>
      <c r="AV16" s="213">
        <f>AQ16*12.7%-232</f>
        <v>336.1027847268799</v>
      </c>
      <c r="AW16" s="214">
        <f t="shared" si="31"/>
        <v>46</v>
      </c>
      <c r="AX16" s="214">
        <f t="shared" si="32"/>
        <v>102</v>
      </c>
      <c r="AY16" s="215">
        <f t="shared" si="33"/>
        <v>12</v>
      </c>
      <c r="AZ16" s="213">
        <f t="shared" si="34"/>
        <v>4010</v>
      </c>
      <c r="BA16" s="216">
        <f t="shared" si="35"/>
        <v>741</v>
      </c>
      <c r="BB16" s="213">
        <f t="shared" si="17"/>
        <v>741</v>
      </c>
      <c r="BC16" s="211"/>
      <c r="BD16" s="217">
        <f t="shared" si="18"/>
        <v>1132</v>
      </c>
      <c r="BE16" s="215">
        <f t="shared" si="41"/>
        <v>1132</v>
      </c>
      <c r="BF16" s="216"/>
      <c r="BG16" s="217">
        <f t="shared" si="36"/>
        <v>142</v>
      </c>
      <c r="BH16" s="217">
        <v>29</v>
      </c>
      <c r="BI16" s="217">
        <v>113</v>
      </c>
      <c r="BJ16" s="217">
        <v>990</v>
      </c>
      <c r="BK16" s="217"/>
      <c r="BL16" s="217"/>
      <c r="BM16" s="217"/>
      <c r="BN16" s="217"/>
      <c r="BO16" s="215">
        <f t="shared" si="42"/>
        <v>0</v>
      </c>
      <c r="BP16" s="217"/>
      <c r="BQ16" s="217"/>
      <c r="BR16" s="217"/>
      <c r="BS16" s="217"/>
      <c r="BT16" s="217"/>
      <c r="BU16" s="217"/>
      <c r="BV16" s="217"/>
      <c r="BW16" s="217">
        <f t="shared" si="37"/>
        <v>0</v>
      </c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5">
        <f t="shared" si="19"/>
        <v>5883</v>
      </c>
      <c r="CN16" s="220">
        <f t="shared" si="38"/>
        <v>46</v>
      </c>
      <c r="CO16" s="220">
        <f>'[2]Thu'!T51</f>
        <v>34.3708</v>
      </c>
      <c r="CP16" s="221">
        <f t="shared" si="13"/>
        <v>11.600000000000001</v>
      </c>
      <c r="CQ16" s="219">
        <v>32</v>
      </c>
      <c r="CR16" s="220">
        <f t="shared" si="20"/>
        <v>44</v>
      </c>
      <c r="CT16" s="219">
        <f t="shared" si="39"/>
        <v>19</v>
      </c>
      <c r="CU16" s="222">
        <f t="shared" si="21"/>
        <v>18</v>
      </c>
      <c r="CV16" s="223">
        <v>1</v>
      </c>
      <c r="CY16" s="224">
        <f>CV16*F16</f>
        <v>39</v>
      </c>
      <c r="DB16" s="225">
        <f t="shared" si="22"/>
        <v>86</v>
      </c>
      <c r="DC16" s="219">
        <v>0.758</v>
      </c>
      <c r="DD16" s="225">
        <f>'[2]Biểu 38'!AT24</f>
        <v>5695</v>
      </c>
      <c r="DE16" s="221">
        <f t="shared" si="23"/>
        <v>188</v>
      </c>
      <c r="DI16" s="226">
        <f t="shared" si="4"/>
        <v>4751</v>
      </c>
      <c r="DJ16" s="226">
        <f t="shared" si="5"/>
        <v>1132</v>
      </c>
      <c r="DL16" s="220">
        <f t="shared" si="6"/>
        <v>114</v>
      </c>
      <c r="DM16" s="227">
        <f t="shared" si="7"/>
        <v>0</v>
      </c>
      <c r="DN16" s="220">
        <f t="shared" si="8"/>
        <v>1132</v>
      </c>
      <c r="DQ16" s="228" t="s">
        <v>456</v>
      </c>
      <c r="DZ16" s="229">
        <f t="shared" si="9"/>
        <v>4751</v>
      </c>
      <c r="EA16" s="229">
        <f t="shared" si="10"/>
        <v>1132</v>
      </c>
    </row>
    <row r="17" spans="1:131" ht="15.75">
      <c r="A17" s="204">
        <v>5</v>
      </c>
      <c r="B17" s="205" t="s">
        <v>348</v>
      </c>
      <c r="C17" s="206">
        <f t="shared" si="14"/>
        <v>88</v>
      </c>
      <c r="D17" s="207">
        <v>85</v>
      </c>
      <c r="E17" s="207">
        <v>3</v>
      </c>
      <c r="F17" s="206">
        <f t="shared" si="24"/>
        <v>85</v>
      </c>
      <c r="G17" s="206">
        <v>82</v>
      </c>
      <c r="H17" s="206">
        <v>3</v>
      </c>
      <c r="I17" s="206"/>
      <c r="J17" s="208">
        <v>342.62</v>
      </c>
      <c r="K17" s="208">
        <f t="shared" si="40"/>
        <v>232.23183</v>
      </c>
      <c r="L17" s="208">
        <v>5.9</v>
      </c>
      <c r="M17" s="208">
        <v>41</v>
      </c>
      <c r="N17" s="208"/>
      <c r="O17" s="208"/>
      <c r="P17" s="208">
        <v>117.70163000000004</v>
      </c>
      <c r="Q17" s="208">
        <v>0.4</v>
      </c>
      <c r="R17" s="208">
        <v>59.23519999999999</v>
      </c>
      <c r="S17" s="208"/>
      <c r="T17" s="208">
        <v>2.355</v>
      </c>
      <c r="U17" s="208"/>
      <c r="V17" s="208"/>
      <c r="W17" s="208">
        <v>2.04</v>
      </c>
      <c r="X17" s="208">
        <v>3.6</v>
      </c>
      <c r="Y17" s="208">
        <f t="shared" si="15"/>
        <v>510.5038</v>
      </c>
      <c r="Z17" s="208">
        <v>14.009</v>
      </c>
      <c r="AA17" s="208">
        <f t="shared" si="25"/>
        <v>340.66142670000005</v>
      </c>
      <c r="AB17" s="208">
        <f t="shared" si="16"/>
        <v>8.791</v>
      </c>
      <c r="AC17" s="208">
        <f t="shared" si="16"/>
        <v>61.089999999999996</v>
      </c>
      <c r="AD17" s="208">
        <f t="shared" si="16"/>
        <v>0</v>
      </c>
      <c r="AE17" s="208">
        <f t="shared" si="16"/>
        <v>0</v>
      </c>
      <c r="AF17" s="208">
        <f t="shared" si="16"/>
        <v>175.37542870000004</v>
      </c>
      <c r="AG17" s="208">
        <f t="shared" si="16"/>
        <v>0.596</v>
      </c>
      <c r="AH17" s="208">
        <f t="shared" si="16"/>
        <v>88.26044799999998</v>
      </c>
      <c r="AI17" s="208">
        <f t="shared" si="16"/>
        <v>0</v>
      </c>
      <c r="AJ17" s="208">
        <f t="shared" si="16"/>
        <v>3.50895</v>
      </c>
      <c r="AK17" s="208">
        <f t="shared" si="16"/>
        <v>0</v>
      </c>
      <c r="AL17" s="208">
        <f t="shared" si="16"/>
        <v>0</v>
      </c>
      <c r="AM17" s="208">
        <f t="shared" si="16"/>
        <v>3.0396</v>
      </c>
      <c r="AN17" s="208">
        <f t="shared" si="16"/>
        <v>5.364</v>
      </c>
      <c r="AO17" s="208">
        <f t="shared" si="26"/>
        <v>870.5382267</v>
      </c>
      <c r="AP17" s="208">
        <f t="shared" si="27"/>
        <v>146.89220152999997</v>
      </c>
      <c r="AQ17" s="208">
        <f t="shared" si="28"/>
        <v>12209.16513876</v>
      </c>
      <c r="AR17" s="276">
        <v>74</v>
      </c>
      <c r="AS17" s="210">
        <v>29.03</v>
      </c>
      <c r="AT17" s="211"/>
      <c r="AU17" s="212">
        <f t="shared" si="29"/>
        <v>1866.56397262252</v>
      </c>
      <c r="AV17" s="213">
        <f t="shared" si="30"/>
        <v>1550.56397262252</v>
      </c>
      <c r="AW17" s="214">
        <f t="shared" si="31"/>
        <v>160</v>
      </c>
      <c r="AX17" s="214">
        <f t="shared" si="32"/>
        <v>140</v>
      </c>
      <c r="AY17" s="215">
        <f t="shared" si="33"/>
        <v>16</v>
      </c>
      <c r="AZ17" s="213">
        <f t="shared" si="34"/>
        <v>10446</v>
      </c>
      <c r="BA17" s="216">
        <f t="shared" si="35"/>
        <v>1020</v>
      </c>
      <c r="BB17" s="213">
        <f t="shared" si="17"/>
        <v>1020</v>
      </c>
      <c r="BC17" s="211"/>
      <c r="BD17" s="217">
        <f t="shared" si="18"/>
        <v>151</v>
      </c>
      <c r="BE17" s="215">
        <f t="shared" si="41"/>
        <v>151</v>
      </c>
      <c r="BF17" s="216"/>
      <c r="BG17" s="215">
        <f t="shared" si="36"/>
        <v>79</v>
      </c>
      <c r="BH17" s="215">
        <v>69</v>
      </c>
      <c r="BI17" s="215">
        <v>10</v>
      </c>
      <c r="BJ17" s="215">
        <v>72</v>
      </c>
      <c r="BK17" s="215"/>
      <c r="BL17" s="215"/>
      <c r="BM17" s="215"/>
      <c r="BN17" s="215"/>
      <c r="BO17" s="215">
        <f t="shared" si="42"/>
        <v>0</v>
      </c>
      <c r="BP17" s="217"/>
      <c r="BQ17" s="217"/>
      <c r="BR17" s="217"/>
      <c r="BS17" s="217"/>
      <c r="BT17" s="217"/>
      <c r="BU17" s="217"/>
      <c r="BV17" s="217"/>
      <c r="BW17" s="215">
        <f t="shared" si="37"/>
        <v>0</v>
      </c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5"/>
      <c r="CI17" s="215"/>
      <c r="CJ17" s="215">
        <f t="shared" si="19"/>
        <v>11617</v>
      </c>
      <c r="CN17" s="220">
        <f t="shared" si="38"/>
        <v>160</v>
      </c>
      <c r="CO17" s="220">
        <f>'[2]Thu'!T58</f>
        <v>132</v>
      </c>
      <c r="CP17" s="221">
        <f t="shared" si="13"/>
        <v>27.6</v>
      </c>
      <c r="CQ17" s="219">
        <v>132</v>
      </c>
      <c r="CR17" s="220">
        <f t="shared" si="20"/>
        <v>160</v>
      </c>
      <c r="CT17" s="219">
        <f t="shared" si="39"/>
        <v>12</v>
      </c>
      <c r="CU17" s="222">
        <f t="shared" si="21"/>
        <v>14</v>
      </c>
      <c r="CV17" s="223"/>
      <c r="CW17" s="219">
        <v>2</v>
      </c>
      <c r="CX17" s="224">
        <f>F17*CW17</f>
        <v>170</v>
      </c>
      <c r="DB17" s="225">
        <f t="shared" si="22"/>
        <v>8</v>
      </c>
      <c r="DC17" s="219">
        <v>0.758</v>
      </c>
      <c r="DD17" s="225">
        <f>'[2]Biểu 38'!AT25</f>
        <v>11764</v>
      </c>
      <c r="DE17" s="221">
        <f t="shared" si="23"/>
        <v>-147</v>
      </c>
      <c r="DI17" s="226">
        <f t="shared" si="4"/>
        <v>11466</v>
      </c>
      <c r="DJ17" s="226">
        <f t="shared" si="5"/>
        <v>151</v>
      </c>
      <c r="DL17" s="220">
        <f t="shared" si="6"/>
        <v>156</v>
      </c>
      <c r="DM17" s="227">
        <f t="shared" si="7"/>
        <v>0</v>
      </c>
      <c r="DN17" s="220">
        <f t="shared" si="8"/>
        <v>151</v>
      </c>
      <c r="DQ17" s="228" t="s">
        <v>457</v>
      </c>
      <c r="DZ17" s="229">
        <f t="shared" si="9"/>
        <v>11466</v>
      </c>
      <c r="EA17" s="229">
        <f t="shared" si="10"/>
        <v>151</v>
      </c>
    </row>
    <row r="18" spans="1:131" ht="15.75">
      <c r="A18" s="230">
        <v>6</v>
      </c>
      <c r="B18" s="205" t="s">
        <v>349</v>
      </c>
      <c r="C18" s="206">
        <f t="shared" si="14"/>
        <v>73</v>
      </c>
      <c r="D18" s="207">
        <v>71</v>
      </c>
      <c r="E18" s="207">
        <v>2</v>
      </c>
      <c r="F18" s="206">
        <f t="shared" si="24"/>
        <v>73</v>
      </c>
      <c r="G18" s="206">
        <v>71</v>
      </c>
      <c r="H18" s="206">
        <v>2</v>
      </c>
      <c r="I18" s="206"/>
      <c r="J18" s="208">
        <v>267.06</v>
      </c>
      <c r="K18" s="208">
        <f t="shared" si="40"/>
        <v>180.30491999999995</v>
      </c>
      <c r="L18" s="208">
        <v>5.6</v>
      </c>
      <c r="M18" s="208">
        <v>35.2</v>
      </c>
      <c r="N18" s="208">
        <v>3.255</v>
      </c>
      <c r="O18" s="208">
        <v>0.2</v>
      </c>
      <c r="P18" s="208">
        <v>93.71530999999997</v>
      </c>
      <c r="Q18" s="208">
        <v>0.2</v>
      </c>
      <c r="R18" s="208">
        <v>39.78800999999999</v>
      </c>
      <c r="S18" s="208"/>
      <c r="T18" s="208">
        <v>0.8466</v>
      </c>
      <c r="U18" s="208"/>
      <c r="V18" s="208"/>
      <c r="W18" s="208"/>
      <c r="X18" s="208">
        <v>1.5</v>
      </c>
      <c r="Y18" s="208">
        <f t="shared" si="15"/>
        <v>397.9194</v>
      </c>
      <c r="Z18" s="208">
        <v>8.9704</v>
      </c>
      <c r="AA18" s="208">
        <f t="shared" si="25"/>
        <v>266.41933079999995</v>
      </c>
      <c r="AB18" s="208">
        <f t="shared" si="16"/>
        <v>8.344</v>
      </c>
      <c r="AC18" s="208">
        <f t="shared" si="16"/>
        <v>52.448</v>
      </c>
      <c r="AD18" s="208">
        <f t="shared" si="16"/>
        <v>4.84995</v>
      </c>
      <c r="AE18" s="208">
        <f t="shared" si="16"/>
        <v>0.298</v>
      </c>
      <c r="AF18" s="208">
        <f t="shared" si="16"/>
        <v>139.63581189999996</v>
      </c>
      <c r="AG18" s="208">
        <f t="shared" si="16"/>
        <v>0.298</v>
      </c>
      <c r="AH18" s="208">
        <f t="shared" si="16"/>
        <v>59.28413489999999</v>
      </c>
      <c r="AI18" s="208">
        <f t="shared" si="16"/>
        <v>0</v>
      </c>
      <c r="AJ18" s="208">
        <f t="shared" si="16"/>
        <v>1.261434</v>
      </c>
      <c r="AK18" s="208">
        <f t="shared" si="16"/>
        <v>0</v>
      </c>
      <c r="AL18" s="208">
        <f t="shared" si="16"/>
        <v>0</v>
      </c>
      <c r="AM18" s="208">
        <f t="shared" si="16"/>
        <v>0</v>
      </c>
      <c r="AN18" s="208">
        <f t="shared" si="16"/>
        <v>2.235</v>
      </c>
      <c r="AO18" s="208">
        <f t="shared" si="26"/>
        <v>675.5441308</v>
      </c>
      <c r="AP18" s="208">
        <f t="shared" si="27"/>
        <v>111.8081516915</v>
      </c>
      <c r="AQ18" s="208">
        <f t="shared" si="28"/>
        <v>9448.227389898</v>
      </c>
      <c r="AR18" s="209">
        <v>56.59</v>
      </c>
      <c r="AS18" s="210">
        <v>16.13</v>
      </c>
      <c r="AT18" s="211"/>
      <c r="AU18" s="212">
        <f t="shared" si="29"/>
        <v>1411.924878517046</v>
      </c>
      <c r="AV18" s="213">
        <f t="shared" si="30"/>
        <v>1199.924878517046</v>
      </c>
      <c r="AW18" s="214">
        <f t="shared" si="31"/>
        <v>78</v>
      </c>
      <c r="AX18" s="214">
        <f t="shared" si="32"/>
        <v>120</v>
      </c>
      <c r="AY18" s="215">
        <f t="shared" si="33"/>
        <v>14</v>
      </c>
      <c r="AZ18" s="213">
        <f t="shared" si="34"/>
        <v>8109</v>
      </c>
      <c r="BA18" s="216">
        <f t="shared" si="35"/>
        <v>876</v>
      </c>
      <c r="BB18" s="213">
        <f t="shared" si="17"/>
        <v>876</v>
      </c>
      <c r="BC18" s="211"/>
      <c r="BD18" s="217">
        <f t="shared" si="18"/>
        <v>769</v>
      </c>
      <c r="BE18" s="215">
        <f>BF18+BG18+BJ18+BK18+BL18+BM18+BN18</f>
        <v>769</v>
      </c>
      <c r="BF18" s="216"/>
      <c r="BG18" s="215">
        <f t="shared" si="36"/>
        <v>179</v>
      </c>
      <c r="BH18" s="215">
        <v>86</v>
      </c>
      <c r="BI18" s="215">
        <v>93</v>
      </c>
      <c r="BJ18" s="215">
        <v>543</v>
      </c>
      <c r="BK18" s="215"/>
      <c r="BL18" s="215">
        <v>47</v>
      </c>
      <c r="BM18" s="215"/>
      <c r="BN18" s="215"/>
      <c r="BO18" s="215">
        <f t="shared" si="42"/>
        <v>0</v>
      </c>
      <c r="BP18" s="217"/>
      <c r="BQ18" s="217"/>
      <c r="BR18" s="217"/>
      <c r="BS18" s="217"/>
      <c r="BT18" s="217"/>
      <c r="BU18" s="217"/>
      <c r="BV18" s="217"/>
      <c r="BW18" s="215">
        <f t="shared" si="37"/>
        <v>0</v>
      </c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5"/>
      <c r="CI18" s="215"/>
      <c r="CJ18" s="215">
        <f t="shared" si="19"/>
        <v>9754</v>
      </c>
      <c r="CN18" s="220">
        <f t="shared" si="38"/>
        <v>78</v>
      </c>
      <c r="CO18" s="220">
        <f>'[2]Thu'!T65</f>
        <v>44</v>
      </c>
      <c r="CP18" s="221">
        <f t="shared" si="13"/>
        <v>34.4</v>
      </c>
      <c r="CQ18" s="219">
        <v>104</v>
      </c>
      <c r="CR18" s="220">
        <f t="shared" si="20"/>
        <v>138</v>
      </c>
      <c r="CT18" s="219">
        <f t="shared" si="39"/>
        <v>12</v>
      </c>
      <c r="CU18" s="222">
        <f t="shared" si="21"/>
        <v>14</v>
      </c>
      <c r="CV18" s="223"/>
      <c r="CW18" s="219">
        <v>2</v>
      </c>
      <c r="CX18" s="224">
        <f>F18*CW18</f>
        <v>146</v>
      </c>
      <c r="DB18" s="225">
        <f t="shared" si="22"/>
        <v>70</v>
      </c>
      <c r="DC18" s="219">
        <v>0.758</v>
      </c>
      <c r="DD18" s="225">
        <f>'[2]Biểu 38'!AT26</f>
        <v>9894</v>
      </c>
      <c r="DE18" s="221">
        <f t="shared" si="23"/>
        <v>-140</v>
      </c>
      <c r="DI18" s="226">
        <f t="shared" si="4"/>
        <v>8985</v>
      </c>
      <c r="DJ18" s="226">
        <f t="shared" si="5"/>
        <v>769</v>
      </c>
      <c r="DL18" s="220">
        <f t="shared" si="6"/>
        <v>134</v>
      </c>
      <c r="DM18" s="227">
        <f t="shared" si="7"/>
        <v>0</v>
      </c>
      <c r="DN18" s="220">
        <f t="shared" si="8"/>
        <v>769</v>
      </c>
      <c r="DQ18" s="228" t="s">
        <v>349</v>
      </c>
      <c r="DZ18" s="229">
        <f t="shared" si="9"/>
        <v>8985</v>
      </c>
      <c r="EA18" s="229">
        <f t="shared" si="10"/>
        <v>769</v>
      </c>
    </row>
    <row r="19" spans="1:131" ht="16.5">
      <c r="A19" s="204">
        <v>7</v>
      </c>
      <c r="B19" s="205" t="s">
        <v>350</v>
      </c>
      <c r="C19" s="206">
        <f t="shared" si="14"/>
        <v>96</v>
      </c>
      <c r="D19" s="207">
        <v>94</v>
      </c>
      <c r="E19" s="207">
        <v>2</v>
      </c>
      <c r="F19" s="206">
        <f t="shared" si="24"/>
        <v>90</v>
      </c>
      <c r="G19" s="206">
        <v>88</v>
      </c>
      <c r="H19" s="206">
        <v>2</v>
      </c>
      <c r="I19" s="206"/>
      <c r="J19" s="208">
        <v>325.58</v>
      </c>
      <c r="K19" s="208">
        <f t="shared" si="40"/>
        <v>340.30090000000007</v>
      </c>
      <c r="L19" s="208">
        <v>5.55</v>
      </c>
      <c r="M19" s="208">
        <v>44</v>
      </c>
      <c r="N19" s="208"/>
      <c r="O19" s="208">
        <v>0.2</v>
      </c>
      <c r="P19" s="208">
        <v>219.76290000000006</v>
      </c>
      <c r="Q19" s="208">
        <v>24.7</v>
      </c>
      <c r="R19" s="208">
        <v>43.471000000000004</v>
      </c>
      <c r="S19" s="208"/>
      <c r="T19" s="208">
        <v>0.547</v>
      </c>
      <c r="U19" s="208"/>
      <c r="V19" s="208"/>
      <c r="W19" s="208">
        <v>1.77</v>
      </c>
      <c r="X19" s="208">
        <v>0.3</v>
      </c>
      <c r="Y19" s="208">
        <f t="shared" si="15"/>
        <v>485.1142</v>
      </c>
      <c r="Z19" s="208">
        <v>8.642</v>
      </c>
      <c r="AA19" s="208">
        <f t="shared" si="25"/>
        <v>506.60134100000005</v>
      </c>
      <c r="AB19" s="208">
        <f t="shared" si="16"/>
        <v>8.269499999999999</v>
      </c>
      <c r="AC19" s="208">
        <f t="shared" si="16"/>
        <v>65.56</v>
      </c>
      <c r="AD19" s="208">
        <f t="shared" si="16"/>
        <v>0</v>
      </c>
      <c r="AE19" s="208">
        <f t="shared" si="16"/>
        <v>0.298</v>
      </c>
      <c r="AF19" s="208">
        <f t="shared" si="16"/>
        <v>327.4467210000001</v>
      </c>
      <c r="AG19" s="208">
        <f t="shared" si="16"/>
        <v>36.803</v>
      </c>
      <c r="AH19" s="208">
        <f t="shared" si="16"/>
        <v>64.77179000000001</v>
      </c>
      <c r="AI19" s="208">
        <f t="shared" si="16"/>
        <v>0</v>
      </c>
      <c r="AJ19" s="208">
        <f t="shared" si="16"/>
        <v>0.81503</v>
      </c>
      <c r="AK19" s="208">
        <f t="shared" si="16"/>
        <v>0</v>
      </c>
      <c r="AL19" s="208">
        <f t="shared" si="16"/>
        <v>0</v>
      </c>
      <c r="AM19" s="208">
        <f t="shared" si="16"/>
        <v>2.6373</v>
      </c>
      <c r="AN19" s="208">
        <f t="shared" si="16"/>
        <v>0.447</v>
      </c>
      <c r="AO19" s="208">
        <f t="shared" si="26"/>
        <v>1000.8045410000001</v>
      </c>
      <c r="AP19" s="208">
        <f t="shared" si="27"/>
        <v>133.38894220000003</v>
      </c>
      <c r="AQ19" s="208">
        <f t="shared" si="28"/>
        <v>13610.321798400002</v>
      </c>
      <c r="AR19" s="209">
        <v>107.98</v>
      </c>
      <c r="AS19" s="210">
        <v>26.38</v>
      </c>
      <c r="AT19" s="213"/>
      <c r="AU19" s="212">
        <f t="shared" si="29"/>
        <v>2232.5108683968</v>
      </c>
      <c r="AV19" s="213">
        <f t="shared" si="30"/>
        <v>1728.5108683968003</v>
      </c>
      <c r="AW19" s="214">
        <f t="shared" si="31"/>
        <v>108</v>
      </c>
      <c r="AX19" s="214">
        <f t="shared" si="32"/>
        <v>355</v>
      </c>
      <c r="AY19" s="215">
        <f t="shared" si="33"/>
        <v>41</v>
      </c>
      <c r="AZ19" s="213">
        <f t="shared" si="34"/>
        <v>11512</v>
      </c>
      <c r="BA19" s="216">
        <f t="shared" si="35"/>
        <v>2580</v>
      </c>
      <c r="BB19" s="213">
        <f t="shared" si="17"/>
        <v>1080</v>
      </c>
      <c r="BC19" s="362">
        <f>1000+500</f>
        <v>1500</v>
      </c>
      <c r="BD19" s="217">
        <f t="shared" si="18"/>
        <v>28</v>
      </c>
      <c r="BE19" s="215">
        <f t="shared" si="41"/>
        <v>28</v>
      </c>
      <c r="BF19" s="216"/>
      <c r="BG19" s="215">
        <f t="shared" si="36"/>
        <v>21</v>
      </c>
      <c r="BH19" s="215">
        <v>20</v>
      </c>
      <c r="BI19" s="215">
        <v>1</v>
      </c>
      <c r="BJ19" s="215">
        <v>0</v>
      </c>
      <c r="BK19" s="215">
        <v>7</v>
      </c>
      <c r="BL19" s="215"/>
      <c r="BM19" s="215"/>
      <c r="BN19" s="215"/>
      <c r="BO19" s="215">
        <f t="shared" si="42"/>
        <v>0</v>
      </c>
      <c r="BP19" s="217"/>
      <c r="BQ19" s="217"/>
      <c r="BR19" s="217"/>
      <c r="BS19" s="217"/>
      <c r="BT19" s="217"/>
      <c r="BU19" s="217"/>
      <c r="BV19" s="217"/>
      <c r="BW19" s="215">
        <f t="shared" si="37"/>
        <v>0</v>
      </c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5"/>
      <c r="CI19" s="218"/>
      <c r="CJ19" s="215">
        <f t="shared" si="19"/>
        <v>14120</v>
      </c>
      <c r="CN19" s="220">
        <f t="shared" si="38"/>
        <v>108</v>
      </c>
      <c r="CO19" s="220">
        <f>'[2]Thu'!T72</f>
        <v>100</v>
      </c>
      <c r="CP19" s="221">
        <f t="shared" si="13"/>
        <v>8</v>
      </c>
      <c r="CQ19" s="219">
        <v>113</v>
      </c>
      <c r="CR19" s="220">
        <f t="shared" si="20"/>
        <v>121</v>
      </c>
      <c r="CT19" s="219">
        <f t="shared" si="39"/>
        <v>12</v>
      </c>
      <c r="CU19" s="222">
        <f t="shared" si="21"/>
        <v>14</v>
      </c>
      <c r="CV19" s="223"/>
      <c r="CW19" s="219">
        <v>2</v>
      </c>
      <c r="CX19" s="224">
        <f>F19*CW19</f>
        <v>180</v>
      </c>
      <c r="DB19" s="225">
        <f t="shared" si="22"/>
        <v>1</v>
      </c>
      <c r="DC19" s="219">
        <v>0.758</v>
      </c>
      <c r="DD19" s="225">
        <f>'[2]Biểu 38'!AT27</f>
        <v>14388</v>
      </c>
      <c r="DE19" s="221">
        <f t="shared" si="23"/>
        <v>-268</v>
      </c>
      <c r="DI19" s="226">
        <f t="shared" si="4"/>
        <v>14092</v>
      </c>
      <c r="DJ19" s="226">
        <f t="shared" si="5"/>
        <v>28</v>
      </c>
      <c r="DL19" s="220">
        <f t="shared" si="6"/>
        <v>396</v>
      </c>
      <c r="DM19" s="227">
        <f t="shared" si="7"/>
        <v>0</v>
      </c>
      <c r="DN19" s="220">
        <f t="shared" si="8"/>
        <v>28</v>
      </c>
      <c r="DQ19" s="228" t="s">
        <v>458</v>
      </c>
      <c r="DZ19" s="229">
        <f t="shared" si="9"/>
        <v>14092</v>
      </c>
      <c r="EA19" s="229">
        <f t="shared" si="10"/>
        <v>28</v>
      </c>
    </row>
    <row r="20" spans="1:131" ht="16.5">
      <c r="A20" s="204">
        <v>8</v>
      </c>
      <c r="B20" s="343" t="s">
        <v>351</v>
      </c>
      <c r="C20" s="206">
        <f t="shared" si="14"/>
        <v>54</v>
      </c>
      <c r="D20" s="207">
        <v>52</v>
      </c>
      <c r="E20" s="207">
        <v>2</v>
      </c>
      <c r="F20" s="206">
        <f t="shared" si="24"/>
        <v>47</v>
      </c>
      <c r="G20" s="206">
        <v>45</v>
      </c>
      <c r="H20" s="206">
        <v>2</v>
      </c>
      <c r="I20" s="206"/>
      <c r="J20" s="208">
        <v>141.28</v>
      </c>
      <c r="K20" s="208">
        <f t="shared" si="40"/>
        <v>101.3874</v>
      </c>
      <c r="L20" s="208">
        <v>3.8</v>
      </c>
      <c r="M20" s="208">
        <v>31.5</v>
      </c>
      <c r="N20" s="208">
        <v>1.638</v>
      </c>
      <c r="O20" s="208">
        <v>0.2</v>
      </c>
      <c r="P20" s="208">
        <v>50.847999999999985</v>
      </c>
      <c r="Q20" s="208">
        <v>1.7</v>
      </c>
      <c r="R20" s="208">
        <v>10.801399999999996</v>
      </c>
      <c r="S20" s="208"/>
      <c r="T20" s="208"/>
      <c r="U20" s="208"/>
      <c r="V20" s="208"/>
      <c r="W20" s="208"/>
      <c r="X20" s="208">
        <v>0.9</v>
      </c>
      <c r="Y20" s="208">
        <f t="shared" si="15"/>
        <v>210.5072</v>
      </c>
      <c r="Z20" s="208">
        <v>10.3108</v>
      </c>
      <c r="AA20" s="208">
        <f t="shared" si="25"/>
        <v>149.72622599999997</v>
      </c>
      <c r="AB20" s="208">
        <f t="shared" si="16"/>
        <v>5.662</v>
      </c>
      <c r="AC20" s="208">
        <f t="shared" si="16"/>
        <v>46.935</v>
      </c>
      <c r="AD20" s="208">
        <f t="shared" si="16"/>
        <v>2.44062</v>
      </c>
      <c r="AE20" s="208">
        <f t="shared" si="16"/>
        <v>0.298</v>
      </c>
      <c r="AF20" s="208">
        <f t="shared" si="16"/>
        <v>75.76351999999997</v>
      </c>
      <c r="AG20" s="208">
        <f t="shared" si="16"/>
        <v>2.533</v>
      </c>
      <c r="AH20" s="208">
        <f t="shared" si="16"/>
        <v>16.094085999999994</v>
      </c>
      <c r="AI20" s="208">
        <f t="shared" si="16"/>
        <v>0</v>
      </c>
      <c r="AJ20" s="208">
        <f t="shared" si="16"/>
        <v>0</v>
      </c>
      <c r="AK20" s="208">
        <f t="shared" si="16"/>
        <v>0</v>
      </c>
      <c r="AL20" s="208">
        <f t="shared" si="16"/>
        <v>0</v>
      </c>
      <c r="AM20" s="208">
        <f t="shared" si="16"/>
        <v>0</v>
      </c>
      <c r="AN20" s="208">
        <f t="shared" si="16"/>
        <v>1.341</v>
      </c>
      <c r="AO20" s="208">
        <f t="shared" si="26"/>
        <v>371.885226</v>
      </c>
      <c r="AP20" s="208">
        <f t="shared" si="27"/>
        <v>57.004910210000006</v>
      </c>
      <c r="AQ20" s="208">
        <f t="shared" si="28"/>
        <v>5146.6816345199995</v>
      </c>
      <c r="AR20" s="209">
        <v>32.4</v>
      </c>
      <c r="AS20" s="210">
        <v>35.72</v>
      </c>
      <c r="AT20" s="213"/>
      <c r="AU20" s="231">
        <f t="shared" si="29"/>
        <v>833.62856758404</v>
      </c>
      <c r="AV20" s="213">
        <f t="shared" si="30"/>
        <v>653.62856758404</v>
      </c>
      <c r="AW20" s="214">
        <f t="shared" si="31"/>
        <v>43</v>
      </c>
      <c r="AX20" s="214">
        <f t="shared" si="32"/>
        <v>123</v>
      </c>
      <c r="AY20" s="215">
        <f t="shared" si="33"/>
        <v>14</v>
      </c>
      <c r="AZ20" s="213">
        <f t="shared" si="34"/>
        <v>4381</v>
      </c>
      <c r="BA20" s="216">
        <f t="shared" si="35"/>
        <v>893</v>
      </c>
      <c r="BB20" s="213">
        <f t="shared" si="17"/>
        <v>893</v>
      </c>
      <c r="BC20" s="211"/>
      <c r="BD20" s="217">
        <f t="shared" si="18"/>
        <v>3023</v>
      </c>
      <c r="BE20" s="215">
        <f t="shared" si="41"/>
        <v>3023</v>
      </c>
      <c r="BF20" s="216"/>
      <c r="BG20" s="217">
        <f t="shared" si="36"/>
        <v>394</v>
      </c>
      <c r="BH20" s="217">
        <v>81</v>
      </c>
      <c r="BI20" s="217">
        <v>313</v>
      </c>
      <c r="BJ20" s="217">
        <v>2617</v>
      </c>
      <c r="BK20" s="217"/>
      <c r="BL20" s="217">
        <v>12</v>
      </c>
      <c r="BM20" s="217"/>
      <c r="BN20" s="217"/>
      <c r="BO20" s="215">
        <f t="shared" si="42"/>
        <v>0</v>
      </c>
      <c r="BP20" s="217"/>
      <c r="BQ20" s="217"/>
      <c r="BR20" s="217"/>
      <c r="BS20" s="217"/>
      <c r="BT20" s="217"/>
      <c r="BU20" s="217"/>
      <c r="BV20" s="217"/>
      <c r="BW20" s="217">
        <f t="shared" si="37"/>
        <v>0</v>
      </c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8"/>
      <c r="CJ20" s="215">
        <f t="shared" si="19"/>
        <v>8297</v>
      </c>
      <c r="CN20" s="220">
        <f t="shared" si="38"/>
        <v>43</v>
      </c>
      <c r="CO20" s="220">
        <f>'[2]Thu'!T79</f>
        <v>10.8</v>
      </c>
      <c r="CP20" s="221">
        <f t="shared" si="13"/>
        <v>32.4</v>
      </c>
      <c r="CQ20" s="219">
        <v>10</v>
      </c>
      <c r="CR20" s="220">
        <f t="shared" si="20"/>
        <v>42</v>
      </c>
      <c r="CT20" s="219">
        <f t="shared" si="39"/>
        <v>19</v>
      </c>
      <c r="CU20" s="222">
        <f t="shared" si="21"/>
        <v>18</v>
      </c>
      <c r="CV20" s="223">
        <v>1</v>
      </c>
      <c r="CY20" s="224">
        <f>CV20*F17</f>
        <v>85</v>
      </c>
      <c r="DB20" s="225">
        <f t="shared" si="22"/>
        <v>237</v>
      </c>
      <c r="DC20" s="219">
        <v>0.758</v>
      </c>
      <c r="DD20" s="225">
        <f>'[2]Biểu 38'!AT28</f>
        <v>8304</v>
      </c>
      <c r="DE20" s="221">
        <f t="shared" si="23"/>
        <v>-7</v>
      </c>
      <c r="DI20" s="226">
        <f t="shared" si="4"/>
        <v>5274</v>
      </c>
      <c r="DJ20" s="226">
        <f t="shared" si="5"/>
        <v>3023</v>
      </c>
      <c r="DL20" s="220">
        <f t="shared" si="6"/>
        <v>137</v>
      </c>
      <c r="DM20" s="227">
        <f t="shared" si="7"/>
        <v>0</v>
      </c>
      <c r="DN20" s="220">
        <f t="shared" si="8"/>
        <v>3023</v>
      </c>
      <c r="DQ20" s="363" t="s">
        <v>351</v>
      </c>
      <c r="DZ20" s="229">
        <f t="shared" si="9"/>
        <v>5274</v>
      </c>
      <c r="EA20" s="229">
        <f t="shared" si="10"/>
        <v>3023</v>
      </c>
    </row>
    <row r="21" spans="1:131" s="219" customFormat="1" ht="16.5">
      <c r="A21" s="204">
        <v>9</v>
      </c>
      <c r="B21" s="205" t="s">
        <v>352</v>
      </c>
      <c r="C21" s="206">
        <f t="shared" si="14"/>
        <v>65</v>
      </c>
      <c r="D21" s="207">
        <v>63</v>
      </c>
      <c r="E21" s="207">
        <v>2</v>
      </c>
      <c r="F21" s="206">
        <f t="shared" si="24"/>
        <v>64</v>
      </c>
      <c r="G21" s="206">
        <v>62</v>
      </c>
      <c r="H21" s="206">
        <v>2</v>
      </c>
      <c r="I21" s="206"/>
      <c r="J21" s="208">
        <v>253.41</v>
      </c>
      <c r="K21" s="208">
        <f t="shared" si="40"/>
        <v>169.53893</v>
      </c>
      <c r="L21" s="208">
        <v>4.7</v>
      </c>
      <c r="M21" s="208">
        <v>31</v>
      </c>
      <c r="N21" s="208"/>
      <c r="O21" s="208"/>
      <c r="P21" s="208">
        <v>88.39686999999999</v>
      </c>
      <c r="Q21" s="208">
        <v>1.72</v>
      </c>
      <c r="R21" s="208">
        <v>42.37385999999999</v>
      </c>
      <c r="S21" s="208"/>
      <c r="T21" s="208">
        <v>0.44820000000000004</v>
      </c>
      <c r="U21" s="208"/>
      <c r="V21" s="208"/>
      <c r="W21" s="208"/>
      <c r="X21" s="208">
        <v>0.9</v>
      </c>
      <c r="Y21" s="208">
        <f t="shared" si="15"/>
        <v>377.5809</v>
      </c>
      <c r="Z21" s="208">
        <v>8.39</v>
      </c>
      <c r="AA21" s="208">
        <f t="shared" si="25"/>
        <v>251.27200570000002</v>
      </c>
      <c r="AB21" s="208">
        <f t="shared" si="16"/>
        <v>7.003</v>
      </c>
      <c r="AC21" s="208">
        <f t="shared" si="16"/>
        <v>46.19</v>
      </c>
      <c r="AD21" s="208">
        <f t="shared" si="16"/>
        <v>0</v>
      </c>
      <c r="AE21" s="208">
        <f t="shared" si="16"/>
        <v>0</v>
      </c>
      <c r="AF21" s="208">
        <f t="shared" si="16"/>
        <v>131.7113363</v>
      </c>
      <c r="AG21" s="208">
        <f t="shared" si="16"/>
        <v>2.5627999999999997</v>
      </c>
      <c r="AH21" s="208">
        <f t="shared" si="16"/>
        <v>63.13705139999999</v>
      </c>
      <c r="AI21" s="208">
        <f t="shared" si="16"/>
        <v>0</v>
      </c>
      <c r="AJ21" s="208">
        <f t="shared" si="16"/>
        <v>0.667818</v>
      </c>
      <c r="AK21" s="208">
        <f t="shared" si="16"/>
        <v>0</v>
      </c>
      <c r="AL21" s="208">
        <f t="shared" si="16"/>
        <v>0</v>
      </c>
      <c r="AM21" s="208">
        <f t="shared" si="16"/>
        <v>0</v>
      </c>
      <c r="AN21" s="208">
        <f t="shared" si="16"/>
        <v>1.341</v>
      </c>
      <c r="AO21" s="208">
        <f t="shared" si="26"/>
        <v>638.5839057</v>
      </c>
      <c r="AP21" s="208">
        <f t="shared" si="27"/>
        <v>107.34301080899998</v>
      </c>
      <c r="AQ21" s="208">
        <f t="shared" si="28"/>
        <v>8951.122998108</v>
      </c>
      <c r="AR21" s="209">
        <v>73.89</v>
      </c>
      <c r="AS21" s="210">
        <v>16.67</v>
      </c>
      <c r="AT21" s="211"/>
      <c r="AU21" s="212">
        <f t="shared" si="29"/>
        <v>1350.7926207597159</v>
      </c>
      <c r="AV21" s="213">
        <f t="shared" si="30"/>
        <v>1136.7926207597159</v>
      </c>
      <c r="AW21" s="214">
        <f t="shared" si="31"/>
        <v>77</v>
      </c>
      <c r="AX21" s="214">
        <f t="shared" si="32"/>
        <v>123</v>
      </c>
      <c r="AY21" s="215">
        <f t="shared" si="33"/>
        <v>14</v>
      </c>
      <c r="AZ21" s="213">
        <f t="shared" si="34"/>
        <v>7691</v>
      </c>
      <c r="BA21" s="216">
        <f t="shared" si="35"/>
        <v>896</v>
      </c>
      <c r="BB21" s="213">
        <f t="shared" si="17"/>
        <v>896</v>
      </c>
      <c r="BC21" s="211"/>
      <c r="BD21" s="217">
        <f t="shared" si="18"/>
        <v>2375</v>
      </c>
      <c r="BE21" s="215">
        <f t="shared" si="41"/>
        <v>2375</v>
      </c>
      <c r="BF21" s="216"/>
      <c r="BG21" s="215">
        <f t="shared" si="36"/>
        <v>231</v>
      </c>
      <c r="BH21" s="215">
        <v>94</v>
      </c>
      <c r="BI21" s="215">
        <v>137</v>
      </c>
      <c r="BJ21" s="215">
        <v>2144</v>
      </c>
      <c r="BK21" s="215"/>
      <c r="BL21" s="215"/>
      <c r="BM21" s="215"/>
      <c r="BN21" s="215"/>
      <c r="BO21" s="215">
        <f t="shared" si="42"/>
        <v>0</v>
      </c>
      <c r="BP21" s="217"/>
      <c r="BQ21" s="217"/>
      <c r="BR21" s="217"/>
      <c r="BS21" s="217"/>
      <c r="BT21" s="217"/>
      <c r="BU21" s="217"/>
      <c r="BV21" s="217"/>
      <c r="BW21" s="215">
        <f t="shared" si="37"/>
        <v>0</v>
      </c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5"/>
      <c r="CI21" s="218"/>
      <c r="CJ21" s="215">
        <f t="shared" si="19"/>
        <v>10962</v>
      </c>
      <c r="CN21" s="220">
        <f t="shared" si="38"/>
        <v>77</v>
      </c>
      <c r="CO21" s="220">
        <f>'[2]Thu'!T86</f>
        <v>39</v>
      </c>
      <c r="CP21" s="221">
        <f t="shared" si="13"/>
        <v>37.6</v>
      </c>
      <c r="CQ21" s="219">
        <v>39</v>
      </c>
      <c r="CR21" s="220">
        <f t="shared" si="20"/>
        <v>77</v>
      </c>
      <c r="CT21" s="219">
        <f t="shared" si="39"/>
        <v>14</v>
      </c>
      <c r="CU21" s="222">
        <f t="shared" si="21"/>
        <v>16</v>
      </c>
      <c r="CV21" s="223"/>
      <c r="CW21" s="219">
        <v>2</v>
      </c>
      <c r="CX21" s="224">
        <f>F21*CW21</f>
        <v>128</v>
      </c>
      <c r="DB21" s="225">
        <f t="shared" si="22"/>
        <v>104</v>
      </c>
      <c r="DC21" s="219">
        <v>0.758</v>
      </c>
      <c r="DD21" s="225">
        <f>'[2]Biểu 38'!AT29</f>
        <v>11097</v>
      </c>
      <c r="DE21" s="221">
        <f t="shared" si="23"/>
        <v>-135</v>
      </c>
      <c r="DI21" s="226">
        <f t="shared" si="4"/>
        <v>8587</v>
      </c>
      <c r="DJ21" s="226">
        <f t="shared" si="5"/>
        <v>2375</v>
      </c>
      <c r="DL21" s="220">
        <f t="shared" si="6"/>
        <v>137</v>
      </c>
      <c r="DM21" s="227">
        <f t="shared" si="7"/>
        <v>0</v>
      </c>
      <c r="DN21" s="220">
        <f t="shared" si="8"/>
        <v>2375</v>
      </c>
      <c r="DQ21" s="228" t="s">
        <v>352</v>
      </c>
      <c r="DZ21" s="229">
        <f t="shared" si="9"/>
        <v>8587</v>
      </c>
      <c r="EA21" s="229">
        <f t="shared" si="10"/>
        <v>2375</v>
      </c>
    </row>
    <row r="22" spans="1:131" s="219" customFormat="1" ht="15.75">
      <c r="A22" s="230">
        <v>10</v>
      </c>
      <c r="B22" s="205" t="s">
        <v>353</v>
      </c>
      <c r="C22" s="206">
        <f t="shared" si="14"/>
        <v>63</v>
      </c>
      <c r="D22" s="207">
        <v>60</v>
      </c>
      <c r="E22" s="207">
        <v>3</v>
      </c>
      <c r="F22" s="206">
        <f t="shared" si="24"/>
        <v>53</v>
      </c>
      <c r="G22" s="206">
        <v>50</v>
      </c>
      <c r="H22" s="206">
        <v>3</v>
      </c>
      <c r="I22" s="206"/>
      <c r="J22" s="208">
        <v>154.37</v>
      </c>
      <c r="K22" s="208">
        <f t="shared" si="40"/>
        <v>106.1727</v>
      </c>
      <c r="L22" s="208">
        <v>4.55</v>
      </c>
      <c r="M22" s="208">
        <v>35</v>
      </c>
      <c r="N22" s="208"/>
      <c r="O22" s="208">
        <v>0.2</v>
      </c>
      <c r="P22" s="208">
        <v>52.66599999999999</v>
      </c>
      <c r="Q22" s="208">
        <v>0.2</v>
      </c>
      <c r="R22" s="208">
        <v>12.056700000000005</v>
      </c>
      <c r="S22" s="208"/>
      <c r="T22" s="208"/>
      <c r="U22" s="208"/>
      <c r="V22" s="208"/>
      <c r="W22" s="208"/>
      <c r="X22" s="208">
        <v>1.5</v>
      </c>
      <c r="Y22" s="208">
        <f t="shared" si="15"/>
        <v>230.0113</v>
      </c>
      <c r="Z22" s="208">
        <v>10.4306</v>
      </c>
      <c r="AA22" s="208">
        <f t="shared" si="25"/>
        <v>155.962323</v>
      </c>
      <c r="AB22" s="208">
        <f t="shared" si="16"/>
        <v>6.7795</v>
      </c>
      <c r="AC22" s="208">
        <f t="shared" si="16"/>
        <v>52.15</v>
      </c>
      <c r="AD22" s="208">
        <f t="shared" si="16"/>
        <v>0</v>
      </c>
      <c r="AE22" s="208">
        <f t="shared" si="16"/>
        <v>0.298</v>
      </c>
      <c r="AF22" s="208">
        <f t="shared" si="16"/>
        <v>78.47233999999999</v>
      </c>
      <c r="AG22" s="208">
        <f t="shared" si="16"/>
        <v>0.298</v>
      </c>
      <c r="AH22" s="208">
        <f t="shared" si="16"/>
        <v>17.96448300000001</v>
      </c>
      <c r="AI22" s="208">
        <f t="shared" si="16"/>
        <v>0</v>
      </c>
      <c r="AJ22" s="208">
        <f t="shared" si="16"/>
        <v>0</v>
      </c>
      <c r="AK22" s="208">
        <f t="shared" si="16"/>
        <v>0</v>
      </c>
      <c r="AL22" s="208">
        <f t="shared" si="16"/>
        <v>0</v>
      </c>
      <c r="AM22" s="208">
        <f t="shared" si="16"/>
        <v>0</v>
      </c>
      <c r="AN22" s="208">
        <f t="shared" si="16"/>
        <v>2.235</v>
      </c>
      <c r="AO22" s="208">
        <f t="shared" si="26"/>
        <v>398.639223</v>
      </c>
      <c r="AP22" s="208">
        <f t="shared" si="27"/>
        <v>62.318682505000005</v>
      </c>
      <c r="AQ22" s="208">
        <f t="shared" si="28"/>
        <v>5531.49486606</v>
      </c>
      <c r="AR22" s="209">
        <v>49.25</v>
      </c>
      <c r="AS22" s="210">
        <v>9.66</v>
      </c>
      <c r="AT22" s="213"/>
      <c r="AU22" s="231">
        <f t="shared" si="29"/>
        <v>878.4998479896201</v>
      </c>
      <c r="AV22" s="213">
        <f t="shared" si="30"/>
        <v>702.4998479896201</v>
      </c>
      <c r="AW22" s="214">
        <f t="shared" si="31"/>
        <v>38</v>
      </c>
      <c r="AX22" s="214">
        <f t="shared" si="32"/>
        <v>124</v>
      </c>
      <c r="AY22" s="215">
        <f t="shared" si="33"/>
        <v>14</v>
      </c>
      <c r="AZ22" s="213">
        <f t="shared" si="34"/>
        <v>4712</v>
      </c>
      <c r="BA22" s="216">
        <f t="shared" si="35"/>
        <v>901</v>
      </c>
      <c r="BB22" s="213">
        <f t="shared" si="17"/>
        <v>901</v>
      </c>
      <c r="BC22" s="211"/>
      <c r="BD22" s="217">
        <f t="shared" si="18"/>
        <v>5039</v>
      </c>
      <c r="BE22" s="215">
        <f t="shared" si="41"/>
        <v>5039</v>
      </c>
      <c r="BF22" s="216"/>
      <c r="BG22" s="217">
        <f t="shared" si="36"/>
        <v>368</v>
      </c>
      <c r="BH22" s="217">
        <v>80</v>
      </c>
      <c r="BI22" s="217">
        <v>288</v>
      </c>
      <c r="BJ22" s="217">
        <v>4671</v>
      </c>
      <c r="BK22" s="217"/>
      <c r="BL22" s="217"/>
      <c r="BM22" s="217"/>
      <c r="BN22" s="217"/>
      <c r="BO22" s="215">
        <f t="shared" si="42"/>
        <v>0</v>
      </c>
      <c r="BP22" s="217"/>
      <c r="BQ22" s="217"/>
      <c r="BR22" s="217"/>
      <c r="BS22" s="217"/>
      <c r="BT22" s="217"/>
      <c r="BU22" s="217"/>
      <c r="BV22" s="217"/>
      <c r="BW22" s="217">
        <f t="shared" si="37"/>
        <v>0</v>
      </c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5">
        <f t="shared" si="19"/>
        <v>10652</v>
      </c>
      <c r="CN22" s="220">
        <f t="shared" si="38"/>
        <v>38</v>
      </c>
      <c r="CO22" s="220">
        <f>'[2]Thu'!T93</f>
        <v>6</v>
      </c>
      <c r="CP22" s="221">
        <f t="shared" si="13"/>
        <v>32</v>
      </c>
      <c r="CQ22" s="219">
        <v>6</v>
      </c>
      <c r="CR22" s="220">
        <f t="shared" si="20"/>
        <v>38</v>
      </c>
      <c r="CT22" s="219">
        <f t="shared" si="39"/>
        <v>17</v>
      </c>
      <c r="CU22" s="222">
        <f t="shared" si="21"/>
        <v>16</v>
      </c>
      <c r="CV22" s="223">
        <v>1</v>
      </c>
      <c r="CY22" s="224">
        <f>CV22*F19</f>
        <v>90</v>
      </c>
      <c r="DB22" s="225">
        <f t="shared" si="22"/>
        <v>218</v>
      </c>
      <c r="DC22" s="219">
        <v>0.758</v>
      </c>
      <c r="DD22" s="225">
        <f>'[2]Biểu 38'!AT30</f>
        <v>10667</v>
      </c>
      <c r="DE22" s="221">
        <f t="shared" si="23"/>
        <v>-15</v>
      </c>
      <c r="DI22" s="226">
        <f t="shared" si="4"/>
        <v>5613</v>
      </c>
      <c r="DJ22" s="226">
        <f t="shared" si="5"/>
        <v>5039</v>
      </c>
      <c r="DL22" s="220">
        <f t="shared" si="6"/>
        <v>138</v>
      </c>
      <c r="DM22" s="227">
        <f t="shared" si="7"/>
        <v>0</v>
      </c>
      <c r="DN22" s="220">
        <f t="shared" si="8"/>
        <v>5039</v>
      </c>
      <c r="DQ22" s="228" t="s">
        <v>353</v>
      </c>
      <c r="DZ22" s="229">
        <f t="shared" si="9"/>
        <v>5613</v>
      </c>
      <c r="EA22" s="229">
        <f t="shared" si="10"/>
        <v>5039</v>
      </c>
    </row>
    <row r="23" spans="1:131" s="219" customFormat="1" ht="15.75">
      <c r="A23" s="230">
        <v>11</v>
      </c>
      <c r="B23" s="205" t="s">
        <v>354</v>
      </c>
      <c r="C23" s="206">
        <f t="shared" si="14"/>
        <v>67</v>
      </c>
      <c r="D23" s="207">
        <v>64</v>
      </c>
      <c r="E23" s="207">
        <v>3</v>
      </c>
      <c r="F23" s="206">
        <f t="shared" si="24"/>
        <v>64</v>
      </c>
      <c r="G23" s="206">
        <v>61</v>
      </c>
      <c r="H23" s="206">
        <v>3</v>
      </c>
      <c r="I23" s="206"/>
      <c r="J23" s="208">
        <v>240.27</v>
      </c>
      <c r="K23" s="208">
        <f t="shared" si="40"/>
        <v>232.215862</v>
      </c>
      <c r="L23" s="208">
        <v>4.1</v>
      </c>
      <c r="M23" s="208">
        <v>30.5</v>
      </c>
      <c r="N23" s="208"/>
      <c r="O23" s="208"/>
      <c r="P23" s="208">
        <v>81.91574999999999</v>
      </c>
      <c r="Q23" s="208">
        <v>0.65</v>
      </c>
      <c r="R23" s="208">
        <v>36.15641199999998</v>
      </c>
      <c r="S23" s="208">
        <v>76.27470000000001</v>
      </c>
      <c r="T23" s="208">
        <v>1.419</v>
      </c>
      <c r="U23" s="208"/>
      <c r="V23" s="208"/>
      <c r="W23" s="208"/>
      <c r="X23" s="208">
        <v>1.2</v>
      </c>
      <c r="Y23" s="208">
        <f t="shared" si="15"/>
        <v>358.0023</v>
      </c>
      <c r="Z23" s="208">
        <v>16.25888</v>
      </c>
      <c r="AA23" s="208">
        <f t="shared" si="25"/>
        <v>344.21363438</v>
      </c>
      <c r="AB23" s="208">
        <f t="shared" si="16"/>
        <v>6.108999999999999</v>
      </c>
      <c r="AC23" s="208">
        <f t="shared" si="16"/>
        <v>45.445</v>
      </c>
      <c r="AD23" s="208">
        <f t="shared" si="16"/>
        <v>0</v>
      </c>
      <c r="AE23" s="208">
        <f t="shared" si="16"/>
        <v>0</v>
      </c>
      <c r="AF23" s="208">
        <f t="shared" si="16"/>
        <v>122.05446749999999</v>
      </c>
      <c r="AG23" s="208">
        <f t="shared" si="16"/>
        <v>0.9685</v>
      </c>
      <c r="AH23" s="208">
        <f t="shared" si="16"/>
        <v>53.87305387999997</v>
      </c>
      <c r="AI23" s="208">
        <f t="shared" si="16"/>
        <v>113.64930300000002</v>
      </c>
      <c r="AJ23" s="208">
        <f t="shared" si="16"/>
        <v>2.11431</v>
      </c>
      <c r="AK23" s="208">
        <f t="shared" si="16"/>
        <v>0</v>
      </c>
      <c r="AL23" s="208">
        <f t="shared" si="16"/>
        <v>0</v>
      </c>
      <c r="AM23" s="208">
        <f t="shared" si="16"/>
        <v>0</v>
      </c>
      <c r="AN23" s="208">
        <f t="shared" si="16"/>
        <v>1.788</v>
      </c>
      <c r="AO23" s="208">
        <f t="shared" si="26"/>
        <v>720.26281438</v>
      </c>
      <c r="AP23" s="208">
        <f t="shared" si="27"/>
        <v>102.54402281179998</v>
      </c>
      <c r="AQ23" s="208">
        <f t="shared" si="28"/>
        <v>9873.682046301601</v>
      </c>
      <c r="AR23" s="209">
        <v>58.06</v>
      </c>
      <c r="AS23" s="210">
        <v>17.32</v>
      </c>
      <c r="AT23" s="211"/>
      <c r="AU23" s="212">
        <f t="shared" si="29"/>
        <v>1474.9576198803034</v>
      </c>
      <c r="AV23" s="213">
        <f t="shared" si="30"/>
        <v>1253.9576198803034</v>
      </c>
      <c r="AW23" s="214">
        <f t="shared" si="31"/>
        <v>84</v>
      </c>
      <c r="AX23" s="214">
        <f t="shared" si="32"/>
        <v>123</v>
      </c>
      <c r="AY23" s="215">
        <f t="shared" si="33"/>
        <v>14</v>
      </c>
      <c r="AZ23" s="213">
        <f t="shared" si="34"/>
        <v>8474</v>
      </c>
      <c r="BA23" s="216">
        <f t="shared" si="35"/>
        <v>896</v>
      </c>
      <c r="BB23" s="213">
        <f t="shared" si="17"/>
        <v>896</v>
      </c>
      <c r="BC23" s="211"/>
      <c r="BD23" s="217">
        <f t="shared" si="18"/>
        <v>1522</v>
      </c>
      <c r="BE23" s="215">
        <f t="shared" si="41"/>
        <v>1522</v>
      </c>
      <c r="BF23" s="216"/>
      <c r="BG23" s="215">
        <f t="shared" si="36"/>
        <v>174</v>
      </c>
      <c r="BH23" s="215">
        <v>111</v>
      </c>
      <c r="BI23" s="215">
        <v>63</v>
      </c>
      <c r="BJ23" s="215">
        <v>1348</v>
      </c>
      <c r="BK23" s="215"/>
      <c r="BL23" s="215"/>
      <c r="BM23" s="215"/>
      <c r="BN23" s="215"/>
      <c r="BO23" s="215">
        <f t="shared" si="42"/>
        <v>0</v>
      </c>
      <c r="BP23" s="217"/>
      <c r="BQ23" s="217"/>
      <c r="BR23" s="217"/>
      <c r="BS23" s="217"/>
      <c r="BT23" s="217"/>
      <c r="BU23" s="217"/>
      <c r="BV23" s="217"/>
      <c r="BW23" s="215">
        <f t="shared" si="37"/>
        <v>0</v>
      </c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5"/>
      <c r="CI23" s="215"/>
      <c r="CJ23" s="215">
        <f t="shared" si="19"/>
        <v>10892</v>
      </c>
      <c r="CN23" s="220">
        <f t="shared" si="38"/>
        <v>84</v>
      </c>
      <c r="CO23" s="220">
        <f>'[2]Thu'!T100</f>
        <v>39.2</v>
      </c>
      <c r="CP23" s="221">
        <f t="shared" si="13"/>
        <v>44.400000000000006</v>
      </c>
      <c r="CQ23" s="219">
        <v>104</v>
      </c>
      <c r="CR23" s="220">
        <f t="shared" si="20"/>
        <v>148</v>
      </c>
      <c r="CT23" s="219">
        <f t="shared" si="39"/>
        <v>14</v>
      </c>
      <c r="CU23" s="222">
        <f t="shared" si="21"/>
        <v>16</v>
      </c>
      <c r="CV23" s="223"/>
      <c r="CW23" s="219">
        <v>2</v>
      </c>
      <c r="CX23" s="224">
        <f>F23*CW23</f>
        <v>128</v>
      </c>
      <c r="DB23" s="225">
        <f t="shared" si="22"/>
        <v>48</v>
      </c>
      <c r="DC23" s="219">
        <v>0.758</v>
      </c>
      <c r="DD23" s="225">
        <f>'[2]Biểu 38'!AT31</f>
        <v>10947</v>
      </c>
      <c r="DE23" s="221">
        <f t="shared" si="23"/>
        <v>-55</v>
      </c>
      <c r="DI23" s="226">
        <f t="shared" si="4"/>
        <v>9370</v>
      </c>
      <c r="DJ23" s="226">
        <f t="shared" si="5"/>
        <v>1522</v>
      </c>
      <c r="DL23" s="220">
        <f t="shared" si="6"/>
        <v>137</v>
      </c>
      <c r="DM23" s="227">
        <f t="shared" si="7"/>
        <v>0</v>
      </c>
      <c r="DN23" s="220">
        <f t="shared" si="8"/>
        <v>1522</v>
      </c>
      <c r="DQ23" s="228" t="s">
        <v>354</v>
      </c>
      <c r="DZ23" s="229">
        <f t="shared" si="9"/>
        <v>9370</v>
      </c>
      <c r="EA23" s="229">
        <f t="shared" si="10"/>
        <v>1522</v>
      </c>
    </row>
    <row r="24" spans="1:131" s="219" customFormat="1" ht="15.75">
      <c r="A24" s="204">
        <v>12</v>
      </c>
      <c r="B24" s="205" t="s">
        <v>355</v>
      </c>
      <c r="C24" s="206">
        <f t="shared" si="14"/>
        <v>52</v>
      </c>
      <c r="D24" s="207">
        <v>50</v>
      </c>
      <c r="E24" s="207">
        <v>2</v>
      </c>
      <c r="F24" s="206">
        <f t="shared" si="24"/>
        <v>50</v>
      </c>
      <c r="G24" s="206">
        <v>48</v>
      </c>
      <c r="H24" s="206">
        <v>2</v>
      </c>
      <c r="I24" s="206"/>
      <c r="J24" s="208">
        <v>159.17</v>
      </c>
      <c r="K24" s="208">
        <f t="shared" si="40"/>
        <v>178.3954</v>
      </c>
      <c r="L24" s="208">
        <v>3.25</v>
      </c>
      <c r="M24" s="208">
        <v>24.2</v>
      </c>
      <c r="N24" s="208"/>
      <c r="O24" s="208"/>
      <c r="P24" s="208">
        <v>106.19</v>
      </c>
      <c r="Q24" s="208">
        <v>0.9</v>
      </c>
      <c r="R24" s="208">
        <v>15.055400000000004</v>
      </c>
      <c r="S24" s="208"/>
      <c r="T24" s="208"/>
      <c r="U24" s="208">
        <v>28.8</v>
      </c>
      <c r="V24" s="208"/>
      <c r="W24" s="208"/>
      <c r="X24" s="208"/>
      <c r="Y24" s="208">
        <f t="shared" si="15"/>
        <v>237.1633</v>
      </c>
      <c r="Z24" s="208">
        <v>6.6156</v>
      </c>
      <c r="AA24" s="208">
        <f t="shared" si="25"/>
        <v>265.809146</v>
      </c>
      <c r="AB24" s="208">
        <f t="shared" si="16"/>
        <v>4.8425</v>
      </c>
      <c r="AC24" s="208">
        <f t="shared" si="16"/>
        <v>36.058</v>
      </c>
      <c r="AD24" s="208">
        <f t="shared" si="16"/>
        <v>0</v>
      </c>
      <c r="AE24" s="208">
        <f t="shared" si="16"/>
        <v>0</v>
      </c>
      <c r="AF24" s="208">
        <f t="shared" si="16"/>
        <v>158.2231</v>
      </c>
      <c r="AG24" s="208">
        <f t="shared" si="16"/>
        <v>1.341</v>
      </c>
      <c r="AH24" s="208">
        <f t="shared" si="16"/>
        <v>22.432546000000006</v>
      </c>
      <c r="AI24" s="208">
        <f t="shared" si="16"/>
        <v>0</v>
      </c>
      <c r="AJ24" s="208">
        <f t="shared" si="16"/>
        <v>0</v>
      </c>
      <c r="AK24" s="208">
        <f t="shared" si="16"/>
        <v>42.912</v>
      </c>
      <c r="AL24" s="208">
        <f t="shared" si="16"/>
        <v>0</v>
      </c>
      <c r="AM24" s="208">
        <f t="shared" si="16"/>
        <v>0</v>
      </c>
      <c r="AN24" s="208">
        <f t="shared" si="16"/>
        <v>0</v>
      </c>
      <c r="AO24" s="208">
        <f t="shared" si="26"/>
        <v>509.58804599999996</v>
      </c>
      <c r="AP24" s="208">
        <f t="shared" si="27"/>
        <v>63.69767730999998</v>
      </c>
      <c r="AQ24" s="208">
        <f t="shared" si="28"/>
        <v>6879.42867972</v>
      </c>
      <c r="AR24" s="209">
        <v>11.16</v>
      </c>
      <c r="AS24" s="210">
        <v>8.67</v>
      </c>
      <c r="AT24" s="213"/>
      <c r="AU24" s="231">
        <f t="shared" si="29"/>
        <v>1057.6874423244399</v>
      </c>
      <c r="AV24" s="213">
        <f t="shared" si="30"/>
        <v>873.68744232444</v>
      </c>
      <c r="AW24" s="214">
        <f t="shared" si="31"/>
        <v>38</v>
      </c>
      <c r="AX24" s="214">
        <f t="shared" si="32"/>
        <v>131</v>
      </c>
      <c r="AY24" s="215">
        <f t="shared" si="33"/>
        <v>15</v>
      </c>
      <c r="AZ24" s="213">
        <f t="shared" si="34"/>
        <v>5842</v>
      </c>
      <c r="BA24" s="216">
        <f t="shared" si="35"/>
        <v>950</v>
      </c>
      <c r="BB24" s="213">
        <f t="shared" si="17"/>
        <v>950</v>
      </c>
      <c r="BC24" s="211"/>
      <c r="BD24" s="217">
        <f t="shared" si="18"/>
        <v>3047</v>
      </c>
      <c r="BE24" s="215">
        <f t="shared" si="41"/>
        <v>3047</v>
      </c>
      <c r="BF24" s="216"/>
      <c r="BG24" s="217">
        <f t="shared" si="36"/>
        <v>320</v>
      </c>
      <c r="BH24" s="217">
        <v>80</v>
      </c>
      <c r="BI24" s="217">
        <v>240</v>
      </c>
      <c r="BJ24" s="217">
        <v>2668</v>
      </c>
      <c r="BK24" s="217"/>
      <c r="BL24" s="217">
        <v>59</v>
      </c>
      <c r="BM24" s="217"/>
      <c r="BN24" s="217"/>
      <c r="BO24" s="215">
        <f t="shared" si="42"/>
        <v>0</v>
      </c>
      <c r="BP24" s="217"/>
      <c r="BQ24" s="217"/>
      <c r="BR24" s="217"/>
      <c r="BS24" s="217"/>
      <c r="BT24" s="217"/>
      <c r="BU24" s="217"/>
      <c r="BV24" s="217"/>
      <c r="BW24" s="217">
        <f t="shared" si="37"/>
        <v>0</v>
      </c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5">
        <f t="shared" si="19"/>
        <v>9839</v>
      </c>
      <c r="CN24" s="220">
        <f t="shared" si="38"/>
        <v>38</v>
      </c>
      <c r="CO24" s="220">
        <f>'[2]Thu'!T107</f>
        <v>6</v>
      </c>
      <c r="CP24" s="221">
        <f t="shared" si="13"/>
        <v>32</v>
      </c>
      <c r="CQ24" s="219">
        <v>5</v>
      </c>
      <c r="CR24" s="220">
        <f t="shared" si="20"/>
        <v>37</v>
      </c>
      <c r="CT24" s="219">
        <f t="shared" si="39"/>
        <v>19</v>
      </c>
      <c r="CU24" s="222">
        <f t="shared" si="21"/>
        <v>18</v>
      </c>
      <c r="CV24" s="223">
        <v>1</v>
      </c>
      <c r="CY24" s="224">
        <f aca="true" t="shared" si="43" ref="CY24:CY31">CV24*F21</f>
        <v>64</v>
      </c>
      <c r="DB24" s="225">
        <f t="shared" si="22"/>
        <v>182</v>
      </c>
      <c r="DC24" s="219">
        <v>0.758</v>
      </c>
      <c r="DD24" s="225">
        <f>'[2]Biểu 38'!AT32</f>
        <v>9943</v>
      </c>
      <c r="DE24" s="221">
        <f t="shared" si="23"/>
        <v>-104</v>
      </c>
      <c r="DI24" s="226">
        <f t="shared" si="4"/>
        <v>6792</v>
      </c>
      <c r="DJ24" s="226">
        <f t="shared" si="5"/>
        <v>3047</v>
      </c>
      <c r="DL24" s="220">
        <f t="shared" si="6"/>
        <v>146</v>
      </c>
      <c r="DM24" s="227">
        <f t="shared" si="7"/>
        <v>0</v>
      </c>
      <c r="DN24" s="220">
        <f t="shared" si="8"/>
        <v>3047</v>
      </c>
      <c r="DQ24" s="228" t="s">
        <v>355</v>
      </c>
      <c r="DS24" s="219">
        <v>1668</v>
      </c>
      <c r="DZ24" s="229">
        <f t="shared" si="9"/>
        <v>6792</v>
      </c>
      <c r="EA24" s="229">
        <f t="shared" si="10"/>
        <v>3047</v>
      </c>
    </row>
    <row r="25" spans="1:131" s="219" customFormat="1" ht="15.75">
      <c r="A25" s="230">
        <v>13</v>
      </c>
      <c r="B25" s="205" t="s">
        <v>356</v>
      </c>
      <c r="C25" s="206">
        <f t="shared" si="14"/>
        <v>44</v>
      </c>
      <c r="D25" s="207">
        <v>41</v>
      </c>
      <c r="E25" s="207">
        <v>3</v>
      </c>
      <c r="F25" s="206">
        <f t="shared" si="24"/>
        <v>44</v>
      </c>
      <c r="G25" s="206">
        <v>41</v>
      </c>
      <c r="H25" s="206">
        <v>3</v>
      </c>
      <c r="I25" s="206"/>
      <c r="J25" s="208">
        <v>150.44</v>
      </c>
      <c r="K25" s="208">
        <f t="shared" si="40"/>
        <v>177.259252</v>
      </c>
      <c r="L25" s="208">
        <v>3.1</v>
      </c>
      <c r="M25" s="208">
        <v>21.1</v>
      </c>
      <c r="N25" s="208"/>
      <c r="O25" s="208">
        <v>0.2</v>
      </c>
      <c r="P25" s="208">
        <v>99.10661999999999</v>
      </c>
      <c r="Q25" s="208">
        <v>1</v>
      </c>
      <c r="R25" s="208">
        <v>19.505032</v>
      </c>
      <c r="S25" s="208">
        <v>1.296</v>
      </c>
      <c r="T25" s="208">
        <v>0.6516000000000001</v>
      </c>
      <c r="U25" s="208">
        <v>30.4</v>
      </c>
      <c r="V25" s="208"/>
      <c r="W25" s="208"/>
      <c r="X25" s="208">
        <v>0.9</v>
      </c>
      <c r="Y25" s="208">
        <f t="shared" si="15"/>
        <v>224.1556</v>
      </c>
      <c r="Z25" s="208">
        <v>14.5126</v>
      </c>
      <c r="AA25" s="208">
        <f t="shared" si="25"/>
        <v>262.77528548000004</v>
      </c>
      <c r="AB25" s="208">
        <f t="shared" si="16"/>
        <v>4.619</v>
      </c>
      <c r="AC25" s="208">
        <f t="shared" si="16"/>
        <v>31.439000000000004</v>
      </c>
      <c r="AD25" s="208">
        <f t="shared" si="16"/>
        <v>0</v>
      </c>
      <c r="AE25" s="208">
        <f t="shared" si="16"/>
        <v>0.298</v>
      </c>
      <c r="AF25" s="208">
        <f t="shared" si="16"/>
        <v>147.6688638</v>
      </c>
      <c r="AG25" s="208">
        <f t="shared" si="16"/>
        <v>1.49</v>
      </c>
      <c r="AH25" s="208">
        <f t="shared" si="16"/>
        <v>29.06249768</v>
      </c>
      <c r="AI25" s="208">
        <f t="shared" si="16"/>
        <v>1.93104</v>
      </c>
      <c r="AJ25" s="208">
        <f t="shared" si="16"/>
        <v>0.9708840000000001</v>
      </c>
      <c r="AK25" s="208">
        <f t="shared" si="16"/>
        <v>45.296</v>
      </c>
      <c r="AL25" s="208">
        <f t="shared" si="16"/>
        <v>0</v>
      </c>
      <c r="AM25" s="208">
        <f t="shared" si="16"/>
        <v>0</v>
      </c>
      <c r="AN25" s="208">
        <f t="shared" si="16"/>
        <v>1.341</v>
      </c>
      <c r="AO25" s="208">
        <f t="shared" si="26"/>
        <v>502.78448548000006</v>
      </c>
      <c r="AP25" s="208">
        <f t="shared" si="27"/>
        <v>64.2303366948</v>
      </c>
      <c r="AQ25" s="208">
        <f t="shared" si="28"/>
        <v>6804.1778660976015</v>
      </c>
      <c r="AR25" s="209">
        <v>31.96</v>
      </c>
      <c r="AS25" s="210">
        <v>9.53</v>
      </c>
      <c r="AT25" s="211"/>
      <c r="AU25" s="231">
        <f t="shared" si="29"/>
        <v>1013.1305889943955</v>
      </c>
      <c r="AV25" s="213">
        <f t="shared" si="30"/>
        <v>864.1305889943955</v>
      </c>
      <c r="AW25" s="214">
        <f t="shared" si="31"/>
        <v>24</v>
      </c>
      <c r="AX25" s="214">
        <f t="shared" si="32"/>
        <v>112</v>
      </c>
      <c r="AY25" s="215">
        <f t="shared" si="33"/>
        <v>13</v>
      </c>
      <c r="AZ25" s="213">
        <f t="shared" si="34"/>
        <v>5833</v>
      </c>
      <c r="BA25" s="216">
        <f t="shared" si="35"/>
        <v>814</v>
      </c>
      <c r="BB25" s="213">
        <f t="shared" si="17"/>
        <v>814</v>
      </c>
      <c r="BC25" s="211"/>
      <c r="BD25" s="217">
        <f t="shared" si="18"/>
        <v>925</v>
      </c>
      <c r="BE25" s="215">
        <f t="shared" si="41"/>
        <v>925</v>
      </c>
      <c r="BF25" s="216"/>
      <c r="BG25" s="217">
        <f>SUM(BH25:BI25)</f>
        <v>127</v>
      </c>
      <c r="BH25" s="217">
        <v>46</v>
      </c>
      <c r="BI25" s="217">
        <v>81</v>
      </c>
      <c r="BJ25" s="217">
        <v>786</v>
      </c>
      <c r="BK25" s="217"/>
      <c r="BL25" s="217">
        <v>12</v>
      </c>
      <c r="BM25" s="217"/>
      <c r="BN25" s="217"/>
      <c r="BO25" s="215">
        <f t="shared" si="42"/>
        <v>0</v>
      </c>
      <c r="BP25" s="217"/>
      <c r="BQ25" s="217"/>
      <c r="BR25" s="217"/>
      <c r="BS25" s="217"/>
      <c r="BT25" s="217"/>
      <c r="BU25" s="217"/>
      <c r="BV25" s="217"/>
      <c r="BW25" s="217">
        <f t="shared" si="37"/>
        <v>0</v>
      </c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5">
        <f t="shared" si="19"/>
        <v>7572</v>
      </c>
      <c r="CN25" s="220">
        <f t="shared" si="38"/>
        <v>24</v>
      </c>
      <c r="CO25" s="220">
        <f>'[2]Thu'!T114</f>
        <v>5.9184</v>
      </c>
      <c r="CP25" s="221">
        <f t="shared" si="13"/>
        <v>18.400000000000002</v>
      </c>
      <c r="CQ25" s="219">
        <v>5</v>
      </c>
      <c r="CR25" s="220">
        <f t="shared" si="20"/>
        <v>23</v>
      </c>
      <c r="CT25" s="219">
        <f t="shared" si="39"/>
        <v>18.5</v>
      </c>
      <c r="CU25" s="222">
        <f t="shared" si="21"/>
        <v>18</v>
      </c>
      <c r="CV25" s="223">
        <v>0.5</v>
      </c>
      <c r="CY25" s="224">
        <f t="shared" si="43"/>
        <v>26.5</v>
      </c>
      <c r="DB25" s="225">
        <f t="shared" si="22"/>
        <v>61</v>
      </c>
      <c r="DC25" s="219">
        <v>0.758</v>
      </c>
      <c r="DD25" s="225">
        <f>'[2]Biểu 38'!AT33</f>
        <v>7568</v>
      </c>
      <c r="DE25" s="221">
        <f t="shared" si="23"/>
        <v>4</v>
      </c>
      <c r="DI25" s="226">
        <f t="shared" si="4"/>
        <v>6647</v>
      </c>
      <c r="DJ25" s="226">
        <f t="shared" si="5"/>
        <v>925</v>
      </c>
      <c r="DL25" s="220">
        <f t="shared" si="6"/>
        <v>125</v>
      </c>
      <c r="DM25" s="227">
        <f t="shared" si="7"/>
        <v>0</v>
      </c>
      <c r="DN25" s="220">
        <f t="shared" si="8"/>
        <v>925</v>
      </c>
      <c r="DQ25" s="232" t="s">
        <v>356</v>
      </c>
      <c r="DS25" s="219">
        <v>2668</v>
      </c>
      <c r="DZ25" s="229">
        <f t="shared" si="9"/>
        <v>6647</v>
      </c>
      <c r="EA25" s="229">
        <f t="shared" si="10"/>
        <v>925</v>
      </c>
    </row>
    <row r="26" spans="1:131" s="219" customFormat="1" ht="16.5">
      <c r="A26" s="230">
        <v>14</v>
      </c>
      <c r="B26" s="205" t="s">
        <v>357</v>
      </c>
      <c r="C26" s="206">
        <f t="shared" si="14"/>
        <v>37</v>
      </c>
      <c r="D26" s="207">
        <v>34</v>
      </c>
      <c r="E26" s="207">
        <v>3</v>
      </c>
      <c r="F26" s="206">
        <f t="shared" si="24"/>
        <v>35</v>
      </c>
      <c r="G26" s="206">
        <v>32</v>
      </c>
      <c r="H26" s="206">
        <v>3</v>
      </c>
      <c r="I26" s="206"/>
      <c r="J26" s="208">
        <v>101.14</v>
      </c>
      <c r="K26" s="208">
        <f t="shared" si="40"/>
        <v>123.71560000000001</v>
      </c>
      <c r="L26" s="208">
        <v>2.7</v>
      </c>
      <c r="M26" s="208">
        <v>22.4</v>
      </c>
      <c r="N26" s="208">
        <v>4.914</v>
      </c>
      <c r="O26" s="208">
        <v>0.4</v>
      </c>
      <c r="P26" s="208">
        <v>65.543</v>
      </c>
      <c r="Q26" s="208">
        <v>0.7</v>
      </c>
      <c r="R26" s="208">
        <v>8.4586</v>
      </c>
      <c r="S26" s="208"/>
      <c r="T26" s="208"/>
      <c r="U26" s="208">
        <v>17.7</v>
      </c>
      <c r="V26" s="208"/>
      <c r="W26" s="208"/>
      <c r="X26" s="208">
        <v>0.9</v>
      </c>
      <c r="Y26" s="208">
        <f t="shared" si="15"/>
        <v>150.6986</v>
      </c>
      <c r="Z26" s="208">
        <v>15.5854</v>
      </c>
      <c r="AA26" s="208">
        <f t="shared" si="25"/>
        <v>182.995244</v>
      </c>
      <c r="AB26" s="208">
        <f t="shared" si="16"/>
        <v>4.023000000000001</v>
      </c>
      <c r="AC26" s="208">
        <f t="shared" si="16"/>
        <v>33.376</v>
      </c>
      <c r="AD26" s="208">
        <f t="shared" si="16"/>
        <v>7.321859999999999</v>
      </c>
      <c r="AE26" s="208">
        <f t="shared" si="16"/>
        <v>0.596</v>
      </c>
      <c r="AF26" s="208">
        <f t="shared" si="16"/>
        <v>97.65907000000001</v>
      </c>
      <c r="AG26" s="208">
        <f t="shared" si="16"/>
        <v>1.043</v>
      </c>
      <c r="AH26" s="208">
        <f t="shared" si="16"/>
        <v>12.603314000000001</v>
      </c>
      <c r="AI26" s="208">
        <f t="shared" si="16"/>
        <v>0</v>
      </c>
      <c r="AJ26" s="208">
        <f t="shared" si="16"/>
        <v>0</v>
      </c>
      <c r="AK26" s="208">
        <f t="shared" si="16"/>
        <v>26.372999999999998</v>
      </c>
      <c r="AL26" s="208">
        <f t="shared" si="16"/>
        <v>0</v>
      </c>
      <c r="AM26" s="208">
        <f t="shared" si="16"/>
        <v>0</v>
      </c>
      <c r="AN26" s="208">
        <f t="shared" si="16"/>
        <v>1.341</v>
      </c>
      <c r="AO26" s="208">
        <f t="shared" si="26"/>
        <v>350.620244</v>
      </c>
      <c r="AP26" s="208">
        <f t="shared" si="27"/>
        <v>42.98392379</v>
      </c>
      <c r="AQ26" s="208">
        <f t="shared" si="28"/>
        <v>4723.25001348</v>
      </c>
      <c r="AR26" s="209">
        <v>35.63</v>
      </c>
      <c r="AS26" s="210">
        <v>5.99</v>
      </c>
      <c r="AT26" s="213"/>
      <c r="AU26" s="231">
        <f t="shared" si="29"/>
        <v>735.8527517119601</v>
      </c>
      <c r="AV26" s="213">
        <f t="shared" si="30"/>
        <v>599.8527517119601</v>
      </c>
      <c r="AW26" s="214">
        <f t="shared" si="31"/>
        <v>23</v>
      </c>
      <c r="AX26" s="214">
        <f t="shared" si="32"/>
        <v>101</v>
      </c>
      <c r="AY26" s="215">
        <f t="shared" si="33"/>
        <v>12</v>
      </c>
      <c r="AZ26" s="213">
        <f t="shared" si="34"/>
        <v>4029</v>
      </c>
      <c r="BA26" s="216">
        <f t="shared" si="35"/>
        <v>735</v>
      </c>
      <c r="BB26" s="213">
        <f t="shared" si="17"/>
        <v>735</v>
      </c>
      <c r="BC26" s="211"/>
      <c r="BD26" s="217">
        <f t="shared" si="18"/>
        <v>1774</v>
      </c>
      <c r="BE26" s="215">
        <f t="shared" si="41"/>
        <v>1774</v>
      </c>
      <c r="BF26" s="216"/>
      <c r="BG26" s="217">
        <f t="shared" si="36"/>
        <v>191</v>
      </c>
      <c r="BH26" s="217">
        <v>47</v>
      </c>
      <c r="BI26" s="217">
        <v>144</v>
      </c>
      <c r="BJ26" s="217">
        <v>1571</v>
      </c>
      <c r="BK26" s="217"/>
      <c r="BL26" s="217">
        <v>12</v>
      </c>
      <c r="BM26" s="217"/>
      <c r="BN26" s="217"/>
      <c r="BO26" s="215">
        <f t="shared" si="42"/>
        <v>0</v>
      </c>
      <c r="BP26" s="217"/>
      <c r="BQ26" s="217"/>
      <c r="BR26" s="217"/>
      <c r="BS26" s="217"/>
      <c r="BT26" s="217"/>
      <c r="BU26" s="217"/>
      <c r="BV26" s="217"/>
      <c r="BW26" s="217">
        <f t="shared" si="37"/>
        <v>0</v>
      </c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8"/>
      <c r="CJ26" s="215">
        <f t="shared" si="19"/>
        <v>6538</v>
      </c>
      <c r="CN26" s="220">
        <f t="shared" si="38"/>
        <v>23</v>
      </c>
      <c r="CO26" s="220">
        <f>'[2]Thu'!T121</f>
        <v>4</v>
      </c>
      <c r="CP26" s="221">
        <f t="shared" si="13"/>
        <v>18.8</v>
      </c>
      <c r="CQ26" s="219">
        <v>4</v>
      </c>
      <c r="CR26" s="220">
        <f t="shared" si="20"/>
        <v>23</v>
      </c>
      <c r="CT26" s="219">
        <f t="shared" si="39"/>
        <v>21</v>
      </c>
      <c r="CU26" s="222">
        <f t="shared" si="21"/>
        <v>20</v>
      </c>
      <c r="CV26" s="223">
        <v>1</v>
      </c>
      <c r="CY26" s="224">
        <f t="shared" si="43"/>
        <v>64</v>
      </c>
      <c r="DB26" s="225">
        <f t="shared" si="22"/>
        <v>109</v>
      </c>
      <c r="DC26" s="219">
        <v>0.758</v>
      </c>
      <c r="DD26" s="225">
        <f>'[2]Biểu 38'!AT34</f>
        <v>6463</v>
      </c>
      <c r="DE26" s="221">
        <f t="shared" si="23"/>
        <v>75</v>
      </c>
      <c r="DI26" s="226">
        <f t="shared" si="4"/>
        <v>4764</v>
      </c>
      <c r="DJ26" s="226">
        <f t="shared" si="5"/>
        <v>1774</v>
      </c>
      <c r="DL26" s="220">
        <f t="shared" si="6"/>
        <v>113</v>
      </c>
      <c r="DM26" s="227">
        <f t="shared" si="7"/>
        <v>0</v>
      </c>
      <c r="DN26" s="220">
        <f t="shared" si="8"/>
        <v>1774</v>
      </c>
      <c r="DQ26" s="228" t="s">
        <v>357</v>
      </c>
      <c r="DS26" s="219">
        <v>786</v>
      </c>
      <c r="DZ26" s="229">
        <f t="shared" si="9"/>
        <v>4764</v>
      </c>
      <c r="EA26" s="229">
        <f t="shared" si="10"/>
        <v>1774</v>
      </c>
    </row>
    <row r="27" spans="1:131" s="219" customFormat="1" ht="15.75">
      <c r="A27" s="230">
        <v>15</v>
      </c>
      <c r="B27" s="205" t="s">
        <v>358</v>
      </c>
      <c r="C27" s="206">
        <f t="shared" si="14"/>
        <v>39</v>
      </c>
      <c r="D27" s="207">
        <v>37</v>
      </c>
      <c r="E27" s="207">
        <v>2</v>
      </c>
      <c r="F27" s="206">
        <f t="shared" si="24"/>
        <v>38</v>
      </c>
      <c r="G27" s="206">
        <v>36</v>
      </c>
      <c r="H27" s="206">
        <v>2</v>
      </c>
      <c r="I27" s="206"/>
      <c r="J27" s="208">
        <v>119.67</v>
      </c>
      <c r="K27" s="208">
        <f t="shared" si="40"/>
        <v>181.80389999999997</v>
      </c>
      <c r="L27" s="208">
        <v>2.95</v>
      </c>
      <c r="M27" s="208">
        <v>25.2</v>
      </c>
      <c r="N27" s="208"/>
      <c r="O27" s="208"/>
      <c r="P27" s="208">
        <v>80.475</v>
      </c>
      <c r="Q27" s="208">
        <v>0.6</v>
      </c>
      <c r="R27" s="208">
        <v>11.6929</v>
      </c>
      <c r="S27" s="208">
        <v>36.786</v>
      </c>
      <c r="T27" s="208"/>
      <c r="U27" s="208">
        <v>22.6</v>
      </c>
      <c r="V27" s="208"/>
      <c r="W27" s="208"/>
      <c r="X27" s="208">
        <v>1.5</v>
      </c>
      <c r="Y27" s="208">
        <f t="shared" si="15"/>
        <v>178.3083</v>
      </c>
      <c r="Z27" s="208">
        <v>12.82294</v>
      </c>
      <c r="AA27" s="208">
        <f t="shared" si="25"/>
        <v>268.652811</v>
      </c>
      <c r="AB27" s="208">
        <f t="shared" si="16"/>
        <v>4.3955</v>
      </c>
      <c r="AC27" s="208">
        <f t="shared" si="16"/>
        <v>37.548</v>
      </c>
      <c r="AD27" s="208">
        <f t="shared" si="16"/>
        <v>0</v>
      </c>
      <c r="AE27" s="208">
        <f t="shared" si="16"/>
        <v>0</v>
      </c>
      <c r="AF27" s="208">
        <f t="shared" si="16"/>
        <v>119.90775</v>
      </c>
      <c r="AG27" s="208">
        <f t="shared" si="16"/>
        <v>0.894</v>
      </c>
      <c r="AH27" s="208">
        <f t="shared" si="16"/>
        <v>17.422421</v>
      </c>
      <c r="AI27" s="208">
        <f t="shared" si="16"/>
        <v>54.81114</v>
      </c>
      <c r="AJ27" s="208">
        <f t="shared" si="16"/>
        <v>0</v>
      </c>
      <c r="AK27" s="208">
        <f t="shared" si="16"/>
        <v>33.674</v>
      </c>
      <c r="AL27" s="208">
        <f t="shared" si="16"/>
        <v>0</v>
      </c>
      <c r="AM27" s="208">
        <f t="shared" si="16"/>
        <v>0</v>
      </c>
      <c r="AN27" s="208">
        <f t="shared" si="16"/>
        <v>2.235</v>
      </c>
      <c r="AO27" s="208">
        <f t="shared" si="26"/>
        <v>462.019051</v>
      </c>
      <c r="AP27" s="208">
        <f t="shared" si="27"/>
        <v>50.043052835</v>
      </c>
      <c r="AQ27" s="208">
        <f t="shared" si="28"/>
        <v>6144.74524602</v>
      </c>
      <c r="AR27" s="209">
        <v>49.84</v>
      </c>
      <c r="AS27" s="233">
        <v>10.256</v>
      </c>
      <c r="AT27" s="213"/>
      <c r="AU27" s="231">
        <f t="shared" si="29"/>
        <v>925.3826462445401</v>
      </c>
      <c r="AV27" s="213">
        <f t="shared" si="30"/>
        <v>780.3826462445401</v>
      </c>
      <c r="AW27" s="214">
        <f t="shared" si="31"/>
        <v>26</v>
      </c>
      <c r="AX27" s="214">
        <f t="shared" si="32"/>
        <v>107</v>
      </c>
      <c r="AY27" s="215">
        <f t="shared" si="33"/>
        <v>12</v>
      </c>
      <c r="AZ27" s="213">
        <f t="shared" si="34"/>
        <v>5279</v>
      </c>
      <c r="BA27" s="216">
        <f t="shared" si="35"/>
        <v>779</v>
      </c>
      <c r="BB27" s="213">
        <f t="shared" si="17"/>
        <v>779</v>
      </c>
      <c r="BC27" s="211"/>
      <c r="BD27" s="217">
        <f t="shared" si="18"/>
        <v>1990</v>
      </c>
      <c r="BE27" s="215">
        <f t="shared" si="41"/>
        <v>1990</v>
      </c>
      <c r="BF27" s="216"/>
      <c r="BG27" s="217">
        <f t="shared" si="36"/>
        <v>124</v>
      </c>
      <c r="BH27" s="217">
        <v>47</v>
      </c>
      <c r="BI27" s="217">
        <v>77</v>
      </c>
      <c r="BJ27" s="217">
        <v>1843</v>
      </c>
      <c r="BK27" s="217"/>
      <c r="BL27" s="217">
        <v>23</v>
      </c>
      <c r="BM27" s="217"/>
      <c r="BN27" s="217"/>
      <c r="BO27" s="215">
        <f t="shared" si="42"/>
        <v>0</v>
      </c>
      <c r="BP27" s="217"/>
      <c r="BQ27" s="217"/>
      <c r="BR27" s="217"/>
      <c r="BS27" s="217"/>
      <c r="BT27" s="217"/>
      <c r="BU27" s="217"/>
      <c r="BV27" s="217"/>
      <c r="BW27" s="217">
        <f t="shared" si="37"/>
        <v>0</v>
      </c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5">
        <f t="shared" si="19"/>
        <v>8048</v>
      </c>
      <c r="CN27" s="220">
        <f t="shared" si="38"/>
        <v>26</v>
      </c>
      <c r="CO27" s="220">
        <f>'[2]Thu'!T128</f>
        <v>7.68</v>
      </c>
      <c r="CP27" s="221">
        <f t="shared" si="13"/>
        <v>18.8</v>
      </c>
      <c r="CQ27" s="219">
        <v>18</v>
      </c>
      <c r="CR27" s="220">
        <f t="shared" si="20"/>
        <v>37</v>
      </c>
      <c r="CT27" s="219">
        <f t="shared" si="39"/>
        <v>20.5</v>
      </c>
      <c r="CU27" s="222">
        <f t="shared" si="21"/>
        <v>20</v>
      </c>
      <c r="CV27" s="223">
        <v>0.5</v>
      </c>
      <c r="CY27" s="224">
        <f t="shared" si="43"/>
        <v>25</v>
      </c>
      <c r="DB27" s="225">
        <f t="shared" si="22"/>
        <v>58</v>
      </c>
      <c r="DC27" s="219">
        <v>0.758</v>
      </c>
      <c r="DD27" s="225">
        <f>'[2]Biểu 38'!AT35</f>
        <v>8047</v>
      </c>
      <c r="DE27" s="221">
        <f t="shared" si="23"/>
        <v>1</v>
      </c>
      <c r="DI27" s="226">
        <f t="shared" si="4"/>
        <v>6058</v>
      </c>
      <c r="DJ27" s="226">
        <f t="shared" si="5"/>
        <v>1990</v>
      </c>
      <c r="DL27" s="220">
        <f t="shared" si="6"/>
        <v>119</v>
      </c>
      <c r="DM27" s="227">
        <f t="shared" si="7"/>
        <v>0</v>
      </c>
      <c r="DN27" s="220">
        <f t="shared" si="8"/>
        <v>1990</v>
      </c>
      <c r="DQ27" s="228" t="s">
        <v>358</v>
      </c>
      <c r="DZ27" s="229">
        <f t="shared" si="9"/>
        <v>6058</v>
      </c>
      <c r="EA27" s="229">
        <f t="shared" si="10"/>
        <v>1990</v>
      </c>
    </row>
    <row r="28" spans="1:131" s="219" customFormat="1" ht="16.5">
      <c r="A28" s="230">
        <v>16</v>
      </c>
      <c r="B28" s="205" t="s">
        <v>359</v>
      </c>
      <c r="C28" s="206">
        <f t="shared" si="14"/>
        <v>64</v>
      </c>
      <c r="D28" s="207">
        <v>62</v>
      </c>
      <c r="E28" s="207">
        <v>2</v>
      </c>
      <c r="F28" s="206">
        <f t="shared" si="24"/>
        <v>61</v>
      </c>
      <c r="G28" s="206">
        <v>59</v>
      </c>
      <c r="H28" s="206">
        <v>2</v>
      </c>
      <c r="I28" s="206"/>
      <c r="J28" s="208">
        <v>190.4</v>
      </c>
      <c r="K28" s="208">
        <f t="shared" si="40"/>
        <v>321.62559999999996</v>
      </c>
      <c r="L28" s="208">
        <v>4.7</v>
      </c>
      <c r="M28" s="208">
        <v>41.3</v>
      </c>
      <c r="N28" s="208"/>
      <c r="O28" s="208">
        <v>0.2</v>
      </c>
      <c r="P28" s="208">
        <v>63.19599999999999</v>
      </c>
      <c r="Q28" s="208">
        <v>0.2</v>
      </c>
      <c r="R28" s="208">
        <v>14.3012</v>
      </c>
      <c r="S28" s="208">
        <v>195.66419999999994</v>
      </c>
      <c r="T28" s="208">
        <v>0.5642</v>
      </c>
      <c r="U28" s="208"/>
      <c r="V28" s="208"/>
      <c r="W28" s="208"/>
      <c r="X28" s="208">
        <v>1.5</v>
      </c>
      <c r="Y28" s="208">
        <f t="shared" si="15"/>
        <v>283.696</v>
      </c>
      <c r="Z28" s="208">
        <v>16.1218</v>
      </c>
      <c r="AA28" s="208">
        <f t="shared" si="25"/>
        <v>476.9871439999999</v>
      </c>
      <c r="AB28" s="208">
        <f t="shared" si="16"/>
        <v>7.003</v>
      </c>
      <c r="AC28" s="208">
        <f t="shared" si="16"/>
        <v>61.53699999999999</v>
      </c>
      <c r="AD28" s="208">
        <f t="shared" si="16"/>
        <v>0</v>
      </c>
      <c r="AE28" s="208">
        <f t="shared" si="16"/>
        <v>0.298</v>
      </c>
      <c r="AF28" s="208">
        <f t="shared" si="16"/>
        <v>94.16203999999999</v>
      </c>
      <c r="AG28" s="208">
        <f t="shared" si="16"/>
        <v>0.298</v>
      </c>
      <c r="AH28" s="208">
        <f t="shared" si="16"/>
        <v>21.308788</v>
      </c>
      <c r="AI28" s="208">
        <f t="shared" si="16"/>
        <v>291.5396579999999</v>
      </c>
      <c r="AJ28" s="208">
        <f t="shared" si="16"/>
        <v>0.840658</v>
      </c>
      <c r="AK28" s="208">
        <f t="shared" si="16"/>
        <v>0</v>
      </c>
      <c r="AL28" s="208">
        <f t="shared" si="16"/>
        <v>0</v>
      </c>
      <c r="AM28" s="208">
        <f t="shared" si="16"/>
        <v>0</v>
      </c>
      <c r="AN28" s="208">
        <f t="shared" si="16"/>
        <v>2.235</v>
      </c>
      <c r="AO28" s="208">
        <f t="shared" si="26"/>
        <v>779.039944</v>
      </c>
      <c r="AP28" s="208">
        <f t="shared" si="27"/>
        <v>77.30800780999999</v>
      </c>
      <c r="AQ28" s="208">
        <f t="shared" si="28"/>
        <v>10276.17542172</v>
      </c>
      <c r="AR28" s="209">
        <v>82.44</v>
      </c>
      <c r="AS28" s="210">
        <v>24.55</v>
      </c>
      <c r="AT28" s="213"/>
      <c r="AU28" s="231">
        <f t="shared" si="29"/>
        <v>1521.07427855844</v>
      </c>
      <c r="AV28" s="213">
        <f t="shared" si="30"/>
        <v>1305.07427855844</v>
      </c>
      <c r="AW28" s="214">
        <f t="shared" si="31"/>
        <v>56</v>
      </c>
      <c r="AX28" s="214">
        <f t="shared" si="32"/>
        <v>143</v>
      </c>
      <c r="AY28" s="215">
        <f t="shared" si="33"/>
        <v>17</v>
      </c>
      <c r="AZ28" s="213">
        <f t="shared" si="34"/>
        <v>8862</v>
      </c>
      <c r="BA28" s="216">
        <f t="shared" si="35"/>
        <v>1037</v>
      </c>
      <c r="BB28" s="213">
        <f t="shared" si="17"/>
        <v>1037</v>
      </c>
      <c r="BC28" s="211"/>
      <c r="BD28" s="217">
        <f t="shared" si="18"/>
        <v>5693</v>
      </c>
      <c r="BE28" s="215">
        <f t="shared" si="41"/>
        <v>5693</v>
      </c>
      <c r="BF28" s="216"/>
      <c r="BG28" s="217">
        <f t="shared" si="36"/>
        <v>675</v>
      </c>
      <c r="BH28" s="217">
        <v>120</v>
      </c>
      <c r="BI28" s="217">
        <v>555</v>
      </c>
      <c r="BJ28" s="217">
        <v>4928</v>
      </c>
      <c r="BK28" s="217">
        <v>8</v>
      </c>
      <c r="BL28" s="217">
        <v>82</v>
      </c>
      <c r="BM28" s="217"/>
      <c r="BN28" s="217"/>
      <c r="BO28" s="215">
        <f t="shared" si="42"/>
        <v>0</v>
      </c>
      <c r="BP28" s="217"/>
      <c r="BQ28" s="217"/>
      <c r="BR28" s="217"/>
      <c r="BS28" s="217"/>
      <c r="BT28" s="217"/>
      <c r="BU28" s="217"/>
      <c r="BV28" s="217"/>
      <c r="BW28" s="217">
        <f t="shared" si="37"/>
        <v>0</v>
      </c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8"/>
      <c r="CJ28" s="215">
        <f t="shared" si="19"/>
        <v>15592</v>
      </c>
      <c r="CN28" s="220">
        <f t="shared" si="38"/>
        <v>56</v>
      </c>
      <c r="CO28" s="220">
        <f>'[2]Thu'!T135</f>
        <v>7.6000000000000005</v>
      </c>
      <c r="CP28" s="221">
        <f t="shared" si="13"/>
        <v>48</v>
      </c>
      <c r="CQ28" s="219">
        <v>8</v>
      </c>
      <c r="CR28" s="220">
        <f t="shared" si="20"/>
        <v>56</v>
      </c>
      <c r="CT28" s="219">
        <f t="shared" si="39"/>
        <v>17</v>
      </c>
      <c r="CU28" s="222">
        <f t="shared" si="21"/>
        <v>16</v>
      </c>
      <c r="CV28" s="223">
        <v>1</v>
      </c>
      <c r="CY28" s="224">
        <f t="shared" si="43"/>
        <v>44</v>
      </c>
      <c r="DB28" s="225">
        <f t="shared" si="22"/>
        <v>421</v>
      </c>
      <c r="DC28" s="219">
        <v>0.758</v>
      </c>
      <c r="DD28" s="225">
        <f>'[2]Biểu 38'!AT36</f>
        <v>16330</v>
      </c>
      <c r="DE28" s="221">
        <f t="shared" si="23"/>
        <v>-738</v>
      </c>
      <c r="DI28" s="226">
        <f t="shared" si="4"/>
        <v>9899</v>
      </c>
      <c r="DJ28" s="226">
        <f t="shared" si="5"/>
        <v>5693</v>
      </c>
      <c r="DL28" s="220">
        <f t="shared" si="6"/>
        <v>160</v>
      </c>
      <c r="DM28" s="227">
        <f t="shared" si="7"/>
        <v>0</v>
      </c>
      <c r="DN28" s="220">
        <f t="shared" si="8"/>
        <v>5693</v>
      </c>
      <c r="DQ28" s="228" t="s">
        <v>359</v>
      </c>
      <c r="DZ28" s="229">
        <f t="shared" si="9"/>
        <v>9899</v>
      </c>
      <c r="EA28" s="229">
        <f t="shared" si="10"/>
        <v>5693</v>
      </c>
    </row>
    <row r="29" spans="1:131" s="219" customFormat="1" ht="16.5">
      <c r="A29" s="230">
        <v>17</v>
      </c>
      <c r="B29" s="205" t="s">
        <v>360</v>
      </c>
      <c r="C29" s="206">
        <f t="shared" si="14"/>
        <v>35</v>
      </c>
      <c r="D29" s="207">
        <v>33</v>
      </c>
      <c r="E29" s="207">
        <v>2</v>
      </c>
      <c r="F29" s="206">
        <f t="shared" si="24"/>
        <v>33</v>
      </c>
      <c r="G29" s="206">
        <v>31</v>
      </c>
      <c r="H29" s="206">
        <v>2</v>
      </c>
      <c r="I29" s="206"/>
      <c r="J29" s="208">
        <v>101.85</v>
      </c>
      <c r="K29" s="208">
        <f t="shared" si="40"/>
        <v>110.27140000000003</v>
      </c>
      <c r="L29" s="208">
        <v>2.65</v>
      </c>
      <c r="M29" s="208">
        <v>14.2</v>
      </c>
      <c r="N29" s="208">
        <v>3.276</v>
      </c>
      <c r="O29" s="208"/>
      <c r="P29" s="208">
        <v>61.94300000000001</v>
      </c>
      <c r="Q29" s="208">
        <v>0.5</v>
      </c>
      <c r="R29" s="208">
        <v>9.302399999999999</v>
      </c>
      <c r="S29" s="208"/>
      <c r="T29" s="208"/>
      <c r="U29" s="208">
        <v>17.2</v>
      </c>
      <c r="V29" s="208"/>
      <c r="W29" s="208"/>
      <c r="X29" s="208">
        <v>1.2</v>
      </c>
      <c r="Y29" s="208">
        <f t="shared" si="15"/>
        <v>151.7565</v>
      </c>
      <c r="Z29" s="208">
        <v>9.0592</v>
      </c>
      <c r="AA29" s="208">
        <f t="shared" si="25"/>
        <v>162.516386</v>
      </c>
      <c r="AB29" s="208">
        <f t="shared" si="16"/>
        <v>3.9484999999999997</v>
      </c>
      <c r="AC29" s="208">
        <f t="shared" si="16"/>
        <v>21.157999999999998</v>
      </c>
      <c r="AD29" s="208">
        <f t="shared" si="16"/>
        <v>4.88124</v>
      </c>
      <c r="AE29" s="208">
        <f t="shared" si="16"/>
        <v>0</v>
      </c>
      <c r="AF29" s="208">
        <f t="shared" si="16"/>
        <v>92.29507000000002</v>
      </c>
      <c r="AG29" s="208">
        <f t="shared" si="16"/>
        <v>0.745</v>
      </c>
      <c r="AH29" s="208">
        <f t="shared" si="16"/>
        <v>13.860575999999998</v>
      </c>
      <c r="AI29" s="208">
        <f t="shared" si="16"/>
        <v>0</v>
      </c>
      <c r="AJ29" s="208">
        <f t="shared" si="16"/>
        <v>0</v>
      </c>
      <c r="AK29" s="208">
        <f t="shared" si="16"/>
        <v>25.628</v>
      </c>
      <c r="AL29" s="208">
        <f t="shared" si="16"/>
        <v>0</v>
      </c>
      <c r="AM29" s="208">
        <f t="shared" si="16"/>
        <v>0</v>
      </c>
      <c r="AN29" s="208">
        <f t="shared" si="16"/>
        <v>1.788</v>
      </c>
      <c r="AO29" s="208">
        <f t="shared" si="26"/>
        <v>325.120086</v>
      </c>
      <c r="AP29" s="208">
        <f t="shared" si="27"/>
        <v>41.97682236000001</v>
      </c>
      <c r="AQ29" s="208">
        <f t="shared" si="28"/>
        <v>4405.1629003200005</v>
      </c>
      <c r="AR29" s="209">
        <v>26.93</v>
      </c>
      <c r="AS29" s="210">
        <v>5.98</v>
      </c>
      <c r="AT29" s="211"/>
      <c r="AU29" s="231">
        <f t="shared" si="29"/>
        <v>685.4556883406401</v>
      </c>
      <c r="AV29" s="213">
        <f t="shared" si="30"/>
        <v>559.4556883406401</v>
      </c>
      <c r="AW29" s="214">
        <f t="shared" si="31"/>
        <v>20</v>
      </c>
      <c r="AX29" s="214">
        <f t="shared" si="32"/>
        <v>95</v>
      </c>
      <c r="AY29" s="215">
        <f t="shared" si="33"/>
        <v>11</v>
      </c>
      <c r="AZ29" s="213">
        <f t="shared" si="34"/>
        <v>3753</v>
      </c>
      <c r="BA29" s="216">
        <f t="shared" si="35"/>
        <v>693</v>
      </c>
      <c r="BB29" s="213">
        <f t="shared" si="17"/>
        <v>693</v>
      </c>
      <c r="BC29" s="211"/>
      <c r="BD29" s="217">
        <f t="shared" si="18"/>
        <v>1929</v>
      </c>
      <c r="BE29" s="215">
        <f t="shared" si="41"/>
        <v>1929</v>
      </c>
      <c r="BF29" s="216"/>
      <c r="BG29" s="217">
        <f t="shared" si="36"/>
        <v>202</v>
      </c>
      <c r="BH29" s="217">
        <v>43</v>
      </c>
      <c r="BI29" s="217">
        <v>159</v>
      </c>
      <c r="BJ29" s="217">
        <v>1668</v>
      </c>
      <c r="BK29" s="217"/>
      <c r="BL29" s="217">
        <v>59</v>
      </c>
      <c r="BM29" s="217"/>
      <c r="BN29" s="217"/>
      <c r="BO29" s="215">
        <f t="shared" si="42"/>
        <v>0</v>
      </c>
      <c r="BP29" s="217"/>
      <c r="BQ29" s="217"/>
      <c r="BR29" s="217"/>
      <c r="BS29" s="217"/>
      <c r="BT29" s="217"/>
      <c r="BU29" s="217"/>
      <c r="BV29" s="217"/>
      <c r="BW29" s="217">
        <f t="shared" si="37"/>
        <v>0</v>
      </c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8"/>
      <c r="CJ29" s="215">
        <f t="shared" si="19"/>
        <v>6375</v>
      </c>
      <c r="CN29" s="220">
        <f t="shared" si="38"/>
        <v>20</v>
      </c>
      <c r="CO29" s="220">
        <f>'[2]Thu'!T142</f>
        <v>3.2</v>
      </c>
      <c r="CP29" s="221">
        <f t="shared" si="13"/>
        <v>17.2</v>
      </c>
      <c r="CQ29" s="219">
        <v>4</v>
      </c>
      <c r="CR29" s="220">
        <f t="shared" si="20"/>
        <v>21</v>
      </c>
      <c r="CT29" s="219">
        <f t="shared" si="39"/>
        <v>21</v>
      </c>
      <c r="CU29" s="222">
        <f t="shared" si="21"/>
        <v>20</v>
      </c>
      <c r="CV29" s="223">
        <v>1</v>
      </c>
      <c r="CY29" s="224">
        <f t="shared" si="43"/>
        <v>35</v>
      </c>
      <c r="DB29" s="225">
        <f t="shared" si="22"/>
        <v>121</v>
      </c>
      <c r="DC29" s="219">
        <v>0.758</v>
      </c>
      <c r="DD29" s="225">
        <f>'[2]Biểu 38'!AT37</f>
        <v>6378</v>
      </c>
      <c r="DE29" s="221">
        <f t="shared" si="23"/>
        <v>-3</v>
      </c>
      <c r="DI29" s="226">
        <f t="shared" si="4"/>
        <v>4446</v>
      </c>
      <c r="DJ29" s="226">
        <f t="shared" si="5"/>
        <v>1929</v>
      </c>
      <c r="DL29" s="220">
        <f t="shared" si="6"/>
        <v>106</v>
      </c>
      <c r="DM29" s="227">
        <f t="shared" si="7"/>
        <v>0</v>
      </c>
      <c r="DN29" s="220">
        <f t="shared" si="8"/>
        <v>1929</v>
      </c>
      <c r="DQ29" s="228" t="s">
        <v>360</v>
      </c>
      <c r="DZ29" s="229">
        <f t="shared" si="9"/>
        <v>4446</v>
      </c>
      <c r="EA29" s="229">
        <f t="shared" si="10"/>
        <v>1929</v>
      </c>
    </row>
    <row r="30" spans="1:131" s="219" customFormat="1" ht="15.75">
      <c r="A30" s="230">
        <v>18</v>
      </c>
      <c r="B30" s="205" t="s">
        <v>361</v>
      </c>
      <c r="C30" s="206">
        <f t="shared" si="14"/>
        <v>46</v>
      </c>
      <c r="D30" s="207">
        <v>43</v>
      </c>
      <c r="E30" s="207">
        <v>3</v>
      </c>
      <c r="F30" s="206">
        <f t="shared" si="24"/>
        <v>43</v>
      </c>
      <c r="G30" s="206">
        <v>40</v>
      </c>
      <c r="H30" s="206">
        <v>3</v>
      </c>
      <c r="I30" s="206"/>
      <c r="J30" s="208">
        <v>116.24</v>
      </c>
      <c r="K30" s="208">
        <f t="shared" si="40"/>
        <v>159.3769</v>
      </c>
      <c r="L30" s="208">
        <v>2.95</v>
      </c>
      <c r="M30" s="208">
        <v>28</v>
      </c>
      <c r="N30" s="208">
        <v>26.54399999999999</v>
      </c>
      <c r="O30" s="208">
        <v>0.2</v>
      </c>
      <c r="P30" s="208">
        <v>77.56</v>
      </c>
      <c r="Q30" s="208">
        <v>0.6</v>
      </c>
      <c r="R30" s="208">
        <v>7.322899999999999</v>
      </c>
      <c r="S30" s="208"/>
      <c r="T30" s="208"/>
      <c r="U30" s="208">
        <v>15.3</v>
      </c>
      <c r="V30" s="208"/>
      <c r="W30" s="208"/>
      <c r="X30" s="208">
        <v>0.9</v>
      </c>
      <c r="Y30" s="208">
        <f t="shared" si="15"/>
        <v>173.1976</v>
      </c>
      <c r="Z30" s="208">
        <v>14.0656</v>
      </c>
      <c r="AA30" s="208">
        <f t="shared" si="25"/>
        <v>236.130581</v>
      </c>
      <c r="AB30" s="208">
        <f t="shared" si="16"/>
        <v>4.3955</v>
      </c>
      <c r="AC30" s="208">
        <f t="shared" si="16"/>
        <v>41.72</v>
      </c>
      <c r="AD30" s="208">
        <f t="shared" si="16"/>
        <v>39.55055999999998</v>
      </c>
      <c r="AE30" s="208">
        <f t="shared" si="16"/>
        <v>0.298</v>
      </c>
      <c r="AF30" s="208">
        <f t="shared" si="16"/>
        <v>115.5644</v>
      </c>
      <c r="AG30" s="208">
        <f t="shared" si="16"/>
        <v>0.894</v>
      </c>
      <c r="AH30" s="208">
        <f t="shared" si="16"/>
        <v>10.911120999999998</v>
      </c>
      <c r="AI30" s="208">
        <f t="shared" si="16"/>
        <v>0</v>
      </c>
      <c r="AJ30" s="208">
        <f t="shared" si="16"/>
        <v>0</v>
      </c>
      <c r="AK30" s="208">
        <f t="shared" si="16"/>
        <v>22.797</v>
      </c>
      <c r="AL30" s="208">
        <f t="shared" si="16"/>
        <v>0</v>
      </c>
      <c r="AM30" s="208">
        <f t="shared" si="16"/>
        <v>0</v>
      </c>
      <c r="AN30" s="208">
        <f t="shared" si="16"/>
        <v>1.341</v>
      </c>
      <c r="AO30" s="208">
        <f t="shared" si="26"/>
        <v>424.734781</v>
      </c>
      <c r="AP30" s="208">
        <f t="shared" si="27"/>
        <v>47.603907934999995</v>
      </c>
      <c r="AQ30" s="208">
        <f t="shared" si="28"/>
        <v>5668.06426722</v>
      </c>
      <c r="AR30" s="209">
        <v>50.64</v>
      </c>
      <c r="AS30" s="210">
        <v>5.6</v>
      </c>
      <c r="AT30" s="213"/>
      <c r="AU30" s="231">
        <f t="shared" si="29"/>
        <v>878.84416193694</v>
      </c>
      <c r="AV30" s="213">
        <f t="shared" si="30"/>
        <v>719.84416193694</v>
      </c>
      <c r="AW30" s="214">
        <f t="shared" si="31"/>
        <v>34</v>
      </c>
      <c r="AX30" s="214">
        <f t="shared" si="32"/>
        <v>112</v>
      </c>
      <c r="AY30" s="215">
        <f t="shared" si="33"/>
        <v>13</v>
      </c>
      <c r="AZ30" s="213">
        <f t="shared" si="34"/>
        <v>4845</v>
      </c>
      <c r="BA30" s="216">
        <f t="shared" si="35"/>
        <v>817</v>
      </c>
      <c r="BB30" s="213">
        <f t="shared" si="17"/>
        <v>817</v>
      </c>
      <c r="BC30" s="211"/>
      <c r="BD30" s="217">
        <f t="shared" si="18"/>
        <v>3153</v>
      </c>
      <c r="BE30" s="215">
        <f t="shared" si="41"/>
        <v>3153</v>
      </c>
      <c r="BF30" s="216"/>
      <c r="BG30" s="217">
        <f t="shared" si="36"/>
        <v>317</v>
      </c>
      <c r="BH30" s="217">
        <v>63</v>
      </c>
      <c r="BI30" s="217">
        <v>254</v>
      </c>
      <c r="BJ30" s="217">
        <v>2813</v>
      </c>
      <c r="BK30" s="217">
        <v>11</v>
      </c>
      <c r="BL30" s="217">
        <v>12</v>
      </c>
      <c r="BM30" s="217"/>
      <c r="BN30" s="217"/>
      <c r="BO30" s="215">
        <f t="shared" si="42"/>
        <v>0</v>
      </c>
      <c r="BP30" s="217"/>
      <c r="BQ30" s="217"/>
      <c r="BR30" s="217"/>
      <c r="BS30" s="217"/>
      <c r="BT30" s="217"/>
      <c r="BU30" s="217"/>
      <c r="BV30" s="217"/>
      <c r="BW30" s="217">
        <f t="shared" si="37"/>
        <v>0</v>
      </c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5">
        <f t="shared" si="19"/>
        <v>8815</v>
      </c>
      <c r="CN30" s="220">
        <f t="shared" si="38"/>
        <v>34</v>
      </c>
      <c r="CO30" s="220">
        <f>'[2]Thu'!T149</f>
        <v>8.4</v>
      </c>
      <c r="CP30" s="221">
        <f t="shared" si="13"/>
        <v>25.200000000000003</v>
      </c>
      <c r="CQ30" s="219">
        <v>6</v>
      </c>
      <c r="CR30" s="220">
        <f t="shared" si="20"/>
        <v>31</v>
      </c>
      <c r="CT30" s="219">
        <f t="shared" si="39"/>
        <v>19</v>
      </c>
      <c r="CU30" s="222">
        <f t="shared" si="21"/>
        <v>18</v>
      </c>
      <c r="CV30" s="223">
        <v>1</v>
      </c>
      <c r="CY30" s="224">
        <f t="shared" si="43"/>
        <v>38</v>
      </c>
      <c r="DB30" s="225">
        <f t="shared" si="22"/>
        <v>193</v>
      </c>
      <c r="DC30" s="219">
        <v>0.758</v>
      </c>
      <c r="DD30" s="225">
        <f>'[2]Biểu 38'!AT38</f>
        <v>8786</v>
      </c>
      <c r="DE30" s="221">
        <f t="shared" si="23"/>
        <v>29</v>
      </c>
      <c r="DI30" s="226">
        <f t="shared" si="4"/>
        <v>5662</v>
      </c>
      <c r="DJ30" s="226">
        <f t="shared" si="5"/>
        <v>3153</v>
      </c>
      <c r="DL30" s="220">
        <f t="shared" si="6"/>
        <v>125</v>
      </c>
      <c r="DM30" s="227">
        <f t="shared" si="7"/>
        <v>0</v>
      </c>
      <c r="DN30" s="220">
        <f t="shared" si="8"/>
        <v>3153</v>
      </c>
      <c r="DQ30" s="228" t="s">
        <v>361</v>
      </c>
      <c r="DZ30" s="229">
        <f t="shared" si="9"/>
        <v>5662</v>
      </c>
      <c r="EA30" s="229">
        <f t="shared" si="10"/>
        <v>3153</v>
      </c>
    </row>
    <row r="31" spans="1:131" s="219" customFormat="1" ht="16.5">
      <c r="A31" s="204">
        <v>19</v>
      </c>
      <c r="B31" s="205" t="s">
        <v>362</v>
      </c>
      <c r="C31" s="206">
        <f t="shared" si="14"/>
        <v>38</v>
      </c>
      <c r="D31" s="207">
        <v>36</v>
      </c>
      <c r="E31" s="207">
        <v>2</v>
      </c>
      <c r="F31" s="206">
        <f t="shared" si="24"/>
        <v>31</v>
      </c>
      <c r="G31" s="206">
        <v>29</v>
      </c>
      <c r="H31" s="206">
        <v>2</v>
      </c>
      <c r="I31" s="206"/>
      <c r="J31" s="208">
        <v>82.67</v>
      </c>
      <c r="K31" s="208">
        <f t="shared" si="40"/>
        <v>114.59440000000001</v>
      </c>
      <c r="L31" s="208">
        <v>3.15</v>
      </c>
      <c r="M31" s="208">
        <v>20.3</v>
      </c>
      <c r="N31" s="208">
        <v>18.360999999999997</v>
      </c>
      <c r="O31" s="208">
        <v>0.2</v>
      </c>
      <c r="P31" s="208">
        <v>55.37</v>
      </c>
      <c r="Q31" s="208">
        <v>0.1</v>
      </c>
      <c r="R31" s="208">
        <v>5.8134</v>
      </c>
      <c r="S31" s="208"/>
      <c r="T31" s="208"/>
      <c r="U31" s="208">
        <v>10.4</v>
      </c>
      <c r="V31" s="208"/>
      <c r="W31" s="208"/>
      <c r="X31" s="208">
        <v>0.9</v>
      </c>
      <c r="Y31" s="208">
        <f t="shared" si="15"/>
        <v>123.17830000000001</v>
      </c>
      <c r="Z31" s="208">
        <v>10.2363</v>
      </c>
      <c r="AA31" s="208">
        <f t="shared" si="25"/>
        <v>169.40465600000002</v>
      </c>
      <c r="AB31" s="208">
        <f t="shared" si="16"/>
        <v>4.6935</v>
      </c>
      <c r="AC31" s="208">
        <f t="shared" si="16"/>
        <v>30.247</v>
      </c>
      <c r="AD31" s="208">
        <f t="shared" si="16"/>
        <v>27.357889999999994</v>
      </c>
      <c r="AE31" s="208">
        <f t="shared" si="16"/>
        <v>0.298</v>
      </c>
      <c r="AF31" s="208">
        <f t="shared" si="16"/>
        <v>82.5013</v>
      </c>
      <c r="AG31" s="208">
        <f t="shared" si="16"/>
        <v>0.149</v>
      </c>
      <c r="AH31" s="208">
        <f t="shared" si="16"/>
        <v>8.661966</v>
      </c>
      <c r="AI31" s="208">
        <f t="shared" si="16"/>
        <v>0</v>
      </c>
      <c r="AJ31" s="208">
        <f t="shared" si="16"/>
        <v>0</v>
      </c>
      <c r="AK31" s="208">
        <f t="shared" si="16"/>
        <v>15.496</v>
      </c>
      <c r="AL31" s="208">
        <f t="shared" si="16"/>
        <v>0</v>
      </c>
      <c r="AM31" s="208">
        <f t="shared" si="16"/>
        <v>0</v>
      </c>
      <c r="AN31" s="208">
        <f t="shared" si="16"/>
        <v>1.341</v>
      </c>
      <c r="AO31" s="208">
        <f t="shared" si="26"/>
        <v>304.160256</v>
      </c>
      <c r="AP31" s="208">
        <f t="shared" si="27"/>
        <v>34.49096551</v>
      </c>
      <c r="AQ31" s="208">
        <f t="shared" si="28"/>
        <v>4063.8146581200003</v>
      </c>
      <c r="AR31" s="209">
        <v>49.57</v>
      </c>
      <c r="AS31" s="210">
        <v>13.72</v>
      </c>
      <c r="AT31" s="213"/>
      <c r="AU31" s="231">
        <f t="shared" si="29"/>
        <v>639.10446158124</v>
      </c>
      <c r="AV31" s="213">
        <f t="shared" si="30"/>
        <v>516.10446158124</v>
      </c>
      <c r="AW31" s="214">
        <f t="shared" si="31"/>
        <v>23</v>
      </c>
      <c r="AX31" s="214">
        <f t="shared" si="32"/>
        <v>90</v>
      </c>
      <c r="AY31" s="215">
        <f t="shared" si="33"/>
        <v>10</v>
      </c>
      <c r="AZ31" s="213">
        <f t="shared" si="34"/>
        <v>3488</v>
      </c>
      <c r="BA31" s="216">
        <f t="shared" si="35"/>
        <v>651</v>
      </c>
      <c r="BB31" s="213">
        <f t="shared" si="17"/>
        <v>651</v>
      </c>
      <c r="BC31" s="211"/>
      <c r="BD31" s="217">
        <f t="shared" si="18"/>
        <v>2380</v>
      </c>
      <c r="BE31" s="215">
        <f t="shared" si="41"/>
        <v>2380</v>
      </c>
      <c r="BF31" s="216"/>
      <c r="BG31" s="217">
        <f t="shared" si="36"/>
        <v>306</v>
      </c>
      <c r="BH31" s="217">
        <v>52</v>
      </c>
      <c r="BI31" s="217">
        <v>254</v>
      </c>
      <c r="BJ31" s="217">
        <v>2074</v>
      </c>
      <c r="BK31" s="217"/>
      <c r="BL31" s="217"/>
      <c r="BM31" s="217"/>
      <c r="BN31" s="217"/>
      <c r="BO31" s="215">
        <f t="shared" si="42"/>
        <v>0</v>
      </c>
      <c r="BP31" s="217"/>
      <c r="BQ31" s="217"/>
      <c r="BR31" s="217"/>
      <c r="BS31" s="217"/>
      <c r="BT31" s="217"/>
      <c r="BU31" s="217"/>
      <c r="BV31" s="217"/>
      <c r="BW31" s="217">
        <f t="shared" si="37"/>
        <v>0</v>
      </c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8"/>
      <c r="CJ31" s="215">
        <f t="shared" si="19"/>
        <v>6519</v>
      </c>
      <c r="CN31" s="220">
        <f t="shared" si="38"/>
        <v>23</v>
      </c>
      <c r="CO31" s="220">
        <f>'[2]Thu'!T156</f>
        <v>2.5600000000000005</v>
      </c>
      <c r="CP31" s="221">
        <f t="shared" si="13"/>
        <v>20.8</v>
      </c>
      <c r="CQ31" s="219">
        <v>7</v>
      </c>
      <c r="CR31" s="220">
        <f t="shared" si="20"/>
        <v>28</v>
      </c>
      <c r="CT31" s="219">
        <f t="shared" si="39"/>
        <v>21</v>
      </c>
      <c r="CU31" s="222">
        <f t="shared" si="21"/>
        <v>20</v>
      </c>
      <c r="CV31" s="223">
        <v>1</v>
      </c>
      <c r="CY31" s="224">
        <f t="shared" si="43"/>
        <v>61</v>
      </c>
      <c r="DB31" s="225">
        <f t="shared" si="22"/>
        <v>193</v>
      </c>
      <c r="DC31" s="219">
        <v>0.758</v>
      </c>
      <c r="DD31" s="225">
        <f>'[2]Biểu 38'!AT39</f>
        <v>6496</v>
      </c>
      <c r="DE31" s="221">
        <f t="shared" si="23"/>
        <v>23</v>
      </c>
      <c r="DI31" s="226">
        <f t="shared" si="4"/>
        <v>4139</v>
      </c>
      <c r="DJ31" s="226">
        <f t="shared" si="5"/>
        <v>2380</v>
      </c>
      <c r="DL31" s="220">
        <f t="shared" si="6"/>
        <v>100</v>
      </c>
      <c r="DM31" s="227">
        <f t="shared" si="7"/>
        <v>0</v>
      </c>
      <c r="DN31" s="220">
        <f t="shared" si="8"/>
        <v>2380</v>
      </c>
      <c r="DQ31" s="228" t="s">
        <v>459</v>
      </c>
      <c r="DZ31" s="229">
        <f t="shared" si="9"/>
        <v>4139</v>
      </c>
      <c r="EA31" s="229">
        <f t="shared" si="10"/>
        <v>2380</v>
      </c>
    </row>
    <row r="32" spans="1:131" s="219" customFormat="1" ht="15.75">
      <c r="A32" s="230">
        <v>20</v>
      </c>
      <c r="B32" s="205" t="s">
        <v>363</v>
      </c>
      <c r="C32" s="206">
        <f t="shared" si="14"/>
        <v>41</v>
      </c>
      <c r="D32" s="207">
        <v>38</v>
      </c>
      <c r="E32" s="207">
        <v>3</v>
      </c>
      <c r="F32" s="206">
        <f t="shared" si="24"/>
        <v>41</v>
      </c>
      <c r="G32" s="206">
        <v>38</v>
      </c>
      <c r="H32" s="206">
        <v>3</v>
      </c>
      <c r="I32" s="206"/>
      <c r="J32" s="208">
        <v>133.03</v>
      </c>
      <c r="K32" s="208">
        <f t="shared" si="40"/>
        <v>124.41621200000003</v>
      </c>
      <c r="L32" s="208">
        <v>3.6</v>
      </c>
      <c r="M32" s="208">
        <v>18.5</v>
      </c>
      <c r="N32" s="208"/>
      <c r="O32" s="208"/>
      <c r="P32" s="208">
        <v>44.06551</v>
      </c>
      <c r="Q32" s="208">
        <v>0.3</v>
      </c>
      <c r="R32" s="208">
        <v>15.008522000000006</v>
      </c>
      <c r="S32" s="208">
        <v>41.09358000000001</v>
      </c>
      <c r="T32" s="208">
        <v>0.3486000000000001</v>
      </c>
      <c r="U32" s="208"/>
      <c r="V32" s="208"/>
      <c r="W32" s="208"/>
      <c r="X32" s="208">
        <v>1.5</v>
      </c>
      <c r="Y32" s="208">
        <f t="shared" si="15"/>
        <v>198.2147</v>
      </c>
      <c r="Z32" s="208">
        <v>16.60754</v>
      </c>
      <c r="AA32" s="208">
        <f t="shared" si="25"/>
        <v>183.14515588000003</v>
      </c>
      <c r="AB32" s="208">
        <f t="shared" si="16"/>
        <v>5.364</v>
      </c>
      <c r="AC32" s="208">
        <f t="shared" si="16"/>
        <v>27.565</v>
      </c>
      <c r="AD32" s="208">
        <f t="shared" si="16"/>
        <v>0</v>
      </c>
      <c r="AE32" s="208">
        <f t="shared" si="16"/>
        <v>0</v>
      </c>
      <c r="AF32" s="208">
        <f t="shared" si="16"/>
        <v>65.65760990000001</v>
      </c>
      <c r="AG32" s="208">
        <f t="shared" si="16"/>
        <v>0.447</v>
      </c>
      <c r="AH32" s="208">
        <f t="shared" si="16"/>
        <v>22.36269778000001</v>
      </c>
      <c r="AI32" s="208">
        <f t="shared" si="16"/>
        <v>61.229434200000014</v>
      </c>
      <c r="AJ32" s="208">
        <f aca="true" t="shared" si="44" ref="AJ32:AN36">T32*1.49</f>
        <v>0.5194140000000002</v>
      </c>
      <c r="AK32" s="208">
        <f t="shared" si="44"/>
        <v>0</v>
      </c>
      <c r="AL32" s="208">
        <f t="shared" si="44"/>
        <v>0</v>
      </c>
      <c r="AM32" s="208">
        <f t="shared" si="44"/>
        <v>0</v>
      </c>
      <c r="AN32" s="208">
        <f t="shared" si="44"/>
        <v>2.235</v>
      </c>
      <c r="AO32" s="208">
        <f t="shared" si="26"/>
        <v>400.20239588000004</v>
      </c>
      <c r="AP32" s="208">
        <f t="shared" si="27"/>
        <v>57.1210626683</v>
      </c>
      <c r="AQ32" s="208">
        <f t="shared" si="28"/>
        <v>5487.8815025796</v>
      </c>
      <c r="AR32" s="209">
        <v>50.69</v>
      </c>
      <c r="AS32" s="210">
        <v>6.24</v>
      </c>
      <c r="AT32" s="211"/>
      <c r="AU32" s="212">
        <f t="shared" si="29"/>
        <v>830.9609508276093</v>
      </c>
      <c r="AV32" s="213">
        <f t="shared" si="30"/>
        <v>696.9609508276093</v>
      </c>
      <c r="AW32" s="214">
        <f t="shared" si="31"/>
        <v>34</v>
      </c>
      <c r="AX32" s="214">
        <f t="shared" si="32"/>
        <v>90</v>
      </c>
      <c r="AY32" s="215">
        <f t="shared" si="33"/>
        <v>10</v>
      </c>
      <c r="AZ32" s="213">
        <f t="shared" si="34"/>
        <v>4714</v>
      </c>
      <c r="BA32" s="216">
        <f t="shared" si="35"/>
        <v>656</v>
      </c>
      <c r="BB32" s="213">
        <f t="shared" si="17"/>
        <v>656</v>
      </c>
      <c r="BC32" s="211"/>
      <c r="BD32" s="217">
        <f t="shared" si="18"/>
        <v>1339</v>
      </c>
      <c r="BE32" s="215">
        <f t="shared" si="41"/>
        <v>1339</v>
      </c>
      <c r="BF32" s="216"/>
      <c r="BG32" s="215">
        <f t="shared" si="36"/>
        <v>118</v>
      </c>
      <c r="BH32" s="215">
        <v>41</v>
      </c>
      <c r="BI32" s="215">
        <v>77</v>
      </c>
      <c r="BJ32" s="215">
        <f>1096+113</f>
        <v>1209</v>
      </c>
      <c r="BK32" s="215"/>
      <c r="BL32" s="215">
        <v>12</v>
      </c>
      <c r="BM32" s="215"/>
      <c r="BN32" s="215"/>
      <c r="BO32" s="215">
        <f t="shared" si="42"/>
        <v>0</v>
      </c>
      <c r="BP32" s="217"/>
      <c r="BQ32" s="217"/>
      <c r="BR32" s="217"/>
      <c r="BS32" s="217"/>
      <c r="BT32" s="217"/>
      <c r="BU32" s="217"/>
      <c r="BV32" s="217"/>
      <c r="BW32" s="215">
        <f t="shared" si="37"/>
        <v>0</v>
      </c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5"/>
      <c r="CI32" s="215"/>
      <c r="CJ32" s="215">
        <f t="shared" si="19"/>
        <v>6709</v>
      </c>
      <c r="CN32" s="220">
        <f t="shared" si="38"/>
        <v>34</v>
      </c>
      <c r="CO32" s="220">
        <f>'[2]Thu'!T163</f>
        <v>17.6</v>
      </c>
      <c r="CP32" s="221">
        <f t="shared" si="13"/>
        <v>16.400000000000002</v>
      </c>
      <c r="CQ32" s="219">
        <v>17</v>
      </c>
      <c r="CR32" s="220">
        <f t="shared" si="20"/>
        <v>33</v>
      </c>
      <c r="CT32" s="219">
        <f t="shared" si="39"/>
        <v>16</v>
      </c>
      <c r="CU32" s="222">
        <f t="shared" si="21"/>
        <v>18</v>
      </c>
      <c r="CV32" s="223"/>
      <c r="CW32" s="219">
        <v>2</v>
      </c>
      <c r="CX32" s="224">
        <f>F32*CW32</f>
        <v>82</v>
      </c>
      <c r="DB32" s="225">
        <f t="shared" si="22"/>
        <v>58</v>
      </c>
      <c r="DC32" s="219">
        <v>0.758</v>
      </c>
      <c r="DD32" s="225">
        <f>'[2]Biểu 38'!AT40</f>
        <v>6526</v>
      </c>
      <c r="DE32" s="221">
        <f t="shared" si="23"/>
        <v>183</v>
      </c>
      <c r="DI32" s="226">
        <f t="shared" si="4"/>
        <v>5370</v>
      </c>
      <c r="DJ32" s="226">
        <f t="shared" si="5"/>
        <v>1339</v>
      </c>
      <c r="DL32" s="220">
        <f t="shared" si="6"/>
        <v>100</v>
      </c>
      <c r="DM32" s="227">
        <f t="shared" si="7"/>
        <v>0</v>
      </c>
      <c r="DN32" s="220">
        <f t="shared" si="8"/>
        <v>1339</v>
      </c>
      <c r="DQ32" s="228" t="s">
        <v>460</v>
      </c>
      <c r="DZ32" s="229">
        <f t="shared" si="9"/>
        <v>5370</v>
      </c>
      <c r="EA32" s="229">
        <f t="shared" si="10"/>
        <v>1339</v>
      </c>
    </row>
    <row r="33" spans="1:131" s="219" customFormat="1" ht="15.75">
      <c r="A33" s="230">
        <v>21</v>
      </c>
      <c r="B33" s="205" t="s">
        <v>364</v>
      </c>
      <c r="C33" s="206">
        <f t="shared" si="14"/>
        <v>54</v>
      </c>
      <c r="D33" s="207">
        <v>52</v>
      </c>
      <c r="E33" s="207">
        <v>2</v>
      </c>
      <c r="F33" s="206">
        <f t="shared" si="24"/>
        <v>52</v>
      </c>
      <c r="G33" s="206">
        <v>50</v>
      </c>
      <c r="H33" s="206">
        <v>2</v>
      </c>
      <c r="I33" s="206"/>
      <c r="J33" s="208">
        <v>181.53</v>
      </c>
      <c r="K33" s="208">
        <f>SUM(L33:X33)</f>
        <v>117.23200000000001</v>
      </c>
      <c r="L33" s="208">
        <v>3.8</v>
      </c>
      <c r="M33" s="208">
        <v>25</v>
      </c>
      <c r="N33" s="208"/>
      <c r="O33" s="208"/>
      <c r="P33" s="208">
        <v>63.28300000000001</v>
      </c>
      <c r="Q33" s="208">
        <v>0.9</v>
      </c>
      <c r="R33" s="208">
        <v>22.428999999999988</v>
      </c>
      <c r="S33" s="208"/>
      <c r="T33" s="208"/>
      <c r="U33" s="208"/>
      <c r="V33" s="208"/>
      <c r="W33" s="208">
        <v>0.92</v>
      </c>
      <c r="X33" s="208">
        <v>0.9</v>
      </c>
      <c r="Y33" s="208">
        <f t="shared" si="15"/>
        <v>270.4797</v>
      </c>
      <c r="Z33" s="208">
        <v>6.86</v>
      </c>
      <c r="AA33" s="208">
        <f t="shared" si="25"/>
        <v>173.33468000000002</v>
      </c>
      <c r="AB33" s="208">
        <f aca="true" t="shared" si="45" ref="AB33:AI36">L33*1.49</f>
        <v>5.662</v>
      </c>
      <c r="AC33" s="208">
        <f t="shared" si="45"/>
        <v>37.25</v>
      </c>
      <c r="AD33" s="208">
        <f t="shared" si="45"/>
        <v>0</v>
      </c>
      <c r="AE33" s="208">
        <f t="shared" si="45"/>
        <v>0</v>
      </c>
      <c r="AF33" s="208">
        <f t="shared" si="45"/>
        <v>94.29167000000001</v>
      </c>
      <c r="AG33" s="208">
        <f t="shared" si="45"/>
        <v>1.341</v>
      </c>
      <c r="AH33" s="208">
        <f t="shared" si="45"/>
        <v>33.41920999999998</v>
      </c>
      <c r="AI33" s="208">
        <f t="shared" si="45"/>
        <v>0</v>
      </c>
      <c r="AJ33" s="208">
        <f t="shared" si="44"/>
        <v>0</v>
      </c>
      <c r="AK33" s="208">
        <f t="shared" si="44"/>
        <v>0</v>
      </c>
      <c r="AL33" s="208">
        <f t="shared" si="44"/>
        <v>0</v>
      </c>
      <c r="AM33" s="208">
        <f t="shared" si="44"/>
        <v>1.3708</v>
      </c>
      <c r="AN33" s="208">
        <f t="shared" si="44"/>
        <v>1.341</v>
      </c>
      <c r="AO33" s="208">
        <f t="shared" si="26"/>
        <v>452.01538000000005</v>
      </c>
      <c r="AP33" s="208">
        <f t="shared" si="27"/>
        <v>74.35891385000001</v>
      </c>
      <c r="AQ33" s="208">
        <f t="shared" si="28"/>
        <v>6316.491526200001</v>
      </c>
      <c r="AR33" s="209">
        <v>41.66</v>
      </c>
      <c r="AS33" s="210">
        <v>7.13</v>
      </c>
      <c r="AT33" s="213"/>
      <c r="AU33" s="212">
        <f t="shared" si="29"/>
        <v>997.1944238274002</v>
      </c>
      <c r="AV33" s="213">
        <f t="shared" si="30"/>
        <v>802.1944238274002</v>
      </c>
      <c r="AW33" s="214">
        <f t="shared" si="31"/>
        <v>68</v>
      </c>
      <c r="AX33" s="214">
        <f t="shared" si="32"/>
        <v>114</v>
      </c>
      <c r="AY33" s="215">
        <f t="shared" si="33"/>
        <v>13</v>
      </c>
      <c r="AZ33" s="213">
        <f t="shared" si="34"/>
        <v>5368</v>
      </c>
      <c r="BA33" s="216">
        <f t="shared" si="35"/>
        <v>832</v>
      </c>
      <c r="BB33" s="213">
        <f t="shared" si="17"/>
        <v>832</v>
      </c>
      <c r="BC33" s="211"/>
      <c r="BD33" s="217">
        <f t="shared" si="18"/>
        <v>27</v>
      </c>
      <c r="BE33" s="215">
        <f t="shared" si="41"/>
        <v>27</v>
      </c>
      <c r="BF33" s="216"/>
      <c r="BG33" s="215">
        <f t="shared" si="36"/>
        <v>10</v>
      </c>
      <c r="BH33" s="215">
        <v>10</v>
      </c>
      <c r="BI33" s="215"/>
      <c r="BJ33" s="215">
        <v>10</v>
      </c>
      <c r="BK33" s="215">
        <v>7</v>
      </c>
      <c r="BL33" s="215"/>
      <c r="BM33" s="215"/>
      <c r="BN33" s="215"/>
      <c r="BO33" s="215">
        <f t="shared" si="42"/>
        <v>0</v>
      </c>
      <c r="BP33" s="217"/>
      <c r="BQ33" s="217"/>
      <c r="BR33" s="217"/>
      <c r="BS33" s="217"/>
      <c r="BT33" s="217"/>
      <c r="BU33" s="217"/>
      <c r="BV33" s="217"/>
      <c r="BW33" s="215">
        <f t="shared" si="37"/>
        <v>0</v>
      </c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5"/>
      <c r="CI33" s="215"/>
      <c r="CJ33" s="215">
        <f t="shared" si="19"/>
        <v>6227</v>
      </c>
      <c r="CN33" s="220">
        <f t="shared" si="38"/>
        <v>68</v>
      </c>
      <c r="CO33" s="220">
        <f>'[2]Thu'!T177</f>
        <v>64</v>
      </c>
      <c r="CP33" s="221">
        <f t="shared" si="13"/>
        <v>4</v>
      </c>
      <c r="CQ33" s="219">
        <v>33</v>
      </c>
      <c r="CR33" s="220">
        <f t="shared" si="20"/>
        <v>37</v>
      </c>
      <c r="CT33" s="219">
        <f t="shared" si="39"/>
        <v>16</v>
      </c>
      <c r="CU33" s="222">
        <f t="shared" si="21"/>
        <v>18</v>
      </c>
      <c r="CV33" s="223"/>
      <c r="CW33" s="219">
        <v>2</v>
      </c>
      <c r="CX33" s="224">
        <f>F33*CW33</f>
        <v>104</v>
      </c>
      <c r="DB33" s="225">
        <f t="shared" si="22"/>
        <v>0</v>
      </c>
      <c r="DC33" s="219">
        <v>0.758</v>
      </c>
      <c r="DD33" s="225">
        <f>'[2]Biểu 38'!AT41</f>
        <v>6310</v>
      </c>
      <c r="DE33" s="221">
        <f t="shared" si="23"/>
        <v>-83</v>
      </c>
      <c r="DI33" s="226">
        <f t="shared" si="4"/>
        <v>6200</v>
      </c>
      <c r="DJ33" s="226">
        <f t="shared" si="5"/>
        <v>27</v>
      </c>
      <c r="DL33" s="220">
        <f t="shared" si="6"/>
        <v>127</v>
      </c>
      <c r="DM33" s="227">
        <f t="shared" si="7"/>
        <v>0</v>
      </c>
      <c r="DN33" s="220">
        <f t="shared" si="8"/>
        <v>27</v>
      </c>
      <c r="DQ33" s="228" t="s">
        <v>461</v>
      </c>
      <c r="DZ33" s="229">
        <f t="shared" si="9"/>
        <v>6200</v>
      </c>
      <c r="EA33" s="229">
        <f t="shared" si="10"/>
        <v>27</v>
      </c>
    </row>
    <row r="34" spans="1:131" s="219" customFormat="1" ht="15.75">
      <c r="A34" s="204">
        <v>22</v>
      </c>
      <c r="B34" s="205" t="s">
        <v>365</v>
      </c>
      <c r="C34" s="206">
        <f t="shared" si="14"/>
        <v>42</v>
      </c>
      <c r="D34" s="207">
        <v>39</v>
      </c>
      <c r="E34" s="207">
        <v>3</v>
      </c>
      <c r="F34" s="206">
        <f t="shared" si="24"/>
        <v>41</v>
      </c>
      <c r="G34" s="206">
        <v>38</v>
      </c>
      <c r="H34" s="206">
        <v>3</v>
      </c>
      <c r="I34" s="206"/>
      <c r="J34" s="234">
        <v>100.47</v>
      </c>
      <c r="K34" s="235">
        <f>SUM(L34:X34)</f>
        <v>157.69159999999997</v>
      </c>
      <c r="L34" s="236">
        <v>2.95</v>
      </c>
      <c r="M34" s="236">
        <v>26.6</v>
      </c>
      <c r="N34" s="236">
        <v>45.40899999999996</v>
      </c>
      <c r="O34" s="236">
        <v>0.2</v>
      </c>
      <c r="P34" s="237">
        <v>69.86699999999998</v>
      </c>
      <c r="Q34" s="236">
        <v>0.9</v>
      </c>
      <c r="R34" s="238">
        <v>4.065600000000001</v>
      </c>
      <c r="S34" s="236"/>
      <c r="T34" s="236"/>
      <c r="U34" s="239">
        <v>6.8</v>
      </c>
      <c r="V34" s="236"/>
      <c r="W34" s="236"/>
      <c r="X34" s="240">
        <v>0.9</v>
      </c>
      <c r="Y34" s="208">
        <f t="shared" si="15"/>
        <v>149.7003</v>
      </c>
      <c r="Z34" s="208">
        <v>13.261</v>
      </c>
      <c r="AA34" s="208">
        <f t="shared" si="25"/>
        <v>233.61948399999994</v>
      </c>
      <c r="AB34" s="208">
        <f t="shared" si="45"/>
        <v>4.3955</v>
      </c>
      <c r="AC34" s="208">
        <f t="shared" si="45"/>
        <v>39.634</v>
      </c>
      <c r="AD34" s="208">
        <f t="shared" si="45"/>
        <v>67.65940999999995</v>
      </c>
      <c r="AE34" s="208">
        <f t="shared" si="45"/>
        <v>0.298</v>
      </c>
      <c r="AF34" s="208">
        <f t="shared" si="45"/>
        <v>104.10182999999996</v>
      </c>
      <c r="AG34" s="208">
        <f t="shared" si="45"/>
        <v>1.341</v>
      </c>
      <c r="AH34" s="208">
        <f t="shared" si="45"/>
        <v>6.057744000000001</v>
      </c>
      <c r="AI34" s="208">
        <f t="shared" si="45"/>
        <v>0</v>
      </c>
      <c r="AJ34" s="208">
        <f t="shared" si="44"/>
        <v>0</v>
      </c>
      <c r="AK34" s="208">
        <f t="shared" si="44"/>
        <v>10.132</v>
      </c>
      <c r="AL34" s="208">
        <f t="shared" si="44"/>
        <v>0</v>
      </c>
      <c r="AM34" s="208">
        <f t="shared" si="44"/>
        <v>0</v>
      </c>
      <c r="AN34" s="208">
        <f t="shared" si="44"/>
        <v>1.341</v>
      </c>
      <c r="AO34" s="208">
        <f t="shared" si="26"/>
        <v>397.92178399999995</v>
      </c>
      <c r="AP34" s="208">
        <f t="shared" si="27"/>
        <v>40.75241784</v>
      </c>
      <c r="AQ34" s="208">
        <f t="shared" si="28"/>
        <v>5264.090422079999</v>
      </c>
      <c r="AR34" s="241">
        <v>12.2</v>
      </c>
      <c r="AS34" s="210">
        <v>21.54</v>
      </c>
      <c r="AT34" s="213"/>
      <c r="AU34" s="212">
        <f t="shared" si="29"/>
        <v>816.53948360416</v>
      </c>
      <c r="AV34" s="213">
        <f t="shared" si="30"/>
        <v>668.53948360416</v>
      </c>
      <c r="AW34" s="214">
        <f t="shared" si="31"/>
        <v>29</v>
      </c>
      <c r="AX34" s="214">
        <f t="shared" si="32"/>
        <v>107</v>
      </c>
      <c r="AY34" s="215">
        <f t="shared" si="33"/>
        <v>12</v>
      </c>
      <c r="AZ34" s="213">
        <f t="shared" si="34"/>
        <v>4481</v>
      </c>
      <c r="BA34" s="216">
        <f t="shared" si="35"/>
        <v>779</v>
      </c>
      <c r="BB34" s="213">
        <f t="shared" si="17"/>
        <v>779</v>
      </c>
      <c r="BC34" s="211"/>
      <c r="BD34" s="217">
        <f t="shared" si="18"/>
        <v>2964</v>
      </c>
      <c r="BE34" s="215">
        <f t="shared" si="41"/>
        <v>2964</v>
      </c>
      <c r="BF34" s="216"/>
      <c r="BG34" s="215">
        <f t="shared" si="36"/>
        <v>401</v>
      </c>
      <c r="BH34" s="215">
        <v>66</v>
      </c>
      <c r="BI34" s="215">
        <v>335</v>
      </c>
      <c r="BJ34" s="215">
        <v>2551</v>
      </c>
      <c r="BK34" s="215"/>
      <c r="BL34" s="215">
        <v>12</v>
      </c>
      <c r="BM34" s="215"/>
      <c r="BN34" s="215"/>
      <c r="BO34" s="215">
        <f t="shared" si="42"/>
        <v>0</v>
      </c>
      <c r="BP34" s="217"/>
      <c r="BQ34" s="217"/>
      <c r="BR34" s="217"/>
      <c r="BS34" s="217"/>
      <c r="BT34" s="217"/>
      <c r="BU34" s="217"/>
      <c r="BV34" s="217"/>
      <c r="BW34" s="215">
        <f t="shared" si="37"/>
        <v>0</v>
      </c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5"/>
      <c r="CI34" s="215"/>
      <c r="CJ34" s="215">
        <f t="shared" si="19"/>
        <v>8224</v>
      </c>
      <c r="CN34" s="220">
        <f t="shared" si="38"/>
        <v>29</v>
      </c>
      <c r="CO34" s="220">
        <f>'[2]Thu'!T170</f>
        <v>2.8674</v>
      </c>
      <c r="CP34" s="221">
        <f t="shared" si="13"/>
        <v>26.400000000000002</v>
      </c>
      <c r="CQ34" s="219">
        <v>1</v>
      </c>
      <c r="CR34" s="220">
        <f t="shared" si="20"/>
        <v>27</v>
      </c>
      <c r="CT34" s="219">
        <f t="shared" si="39"/>
        <v>19</v>
      </c>
      <c r="CU34" s="222">
        <f t="shared" si="21"/>
        <v>18</v>
      </c>
      <c r="CV34" s="223">
        <v>1</v>
      </c>
      <c r="CY34" s="224">
        <f>CV34*F31</f>
        <v>31</v>
      </c>
      <c r="DB34" s="225">
        <f t="shared" si="22"/>
        <v>254</v>
      </c>
      <c r="DC34" s="219">
        <v>0.758</v>
      </c>
      <c r="DD34" s="225">
        <f>'[2]Biểu 38'!AT42</f>
        <v>8194</v>
      </c>
      <c r="DE34" s="221">
        <f t="shared" si="23"/>
        <v>30</v>
      </c>
      <c r="DI34" s="226">
        <f t="shared" si="4"/>
        <v>5260</v>
      </c>
      <c r="DJ34" s="226">
        <f t="shared" si="5"/>
        <v>2964</v>
      </c>
      <c r="DL34" s="220">
        <f t="shared" si="6"/>
        <v>119</v>
      </c>
      <c r="DM34" s="227">
        <f t="shared" si="7"/>
        <v>0</v>
      </c>
      <c r="DN34" s="220">
        <f t="shared" si="8"/>
        <v>2964</v>
      </c>
      <c r="DQ34" s="228" t="s">
        <v>462</v>
      </c>
      <c r="DZ34" s="229">
        <f t="shared" si="9"/>
        <v>5260</v>
      </c>
      <c r="EA34" s="229">
        <f t="shared" si="10"/>
        <v>2964</v>
      </c>
    </row>
    <row r="35" spans="1:131" s="219" customFormat="1" ht="15.75">
      <c r="A35" s="204">
        <v>23</v>
      </c>
      <c r="B35" s="205" t="s">
        <v>366</v>
      </c>
      <c r="C35" s="206">
        <f t="shared" si="14"/>
        <v>72</v>
      </c>
      <c r="D35" s="207">
        <v>69</v>
      </c>
      <c r="E35" s="207">
        <v>3</v>
      </c>
      <c r="F35" s="206">
        <f t="shared" si="24"/>
        <v>69</v>
      </c>
      <c r="G35" s="206">
        <v>67</v>
      </c>
      <c r="H35" s="206">
        <v>2</v>
      </c>
      <c r="I35" s="206"/>
      <c r="J35" s="208">
        <v>247.5</v>
      </c>
      <c r="K35" s="208">
        <f t="shared" si="40"/>
        <v>323.46503552</v>
      </c>
      <c r="L35" s="208">
        <v>4.75</v>
      </c>
      <c r="M35" s="208">
        <v>33.5</v>
      </c>
      <c r="N35" s="208">
        <v>46.655</v>
      </c>
      <c r="O35" s="208">
        <v>0.2</v>
      </c>
      <c r="P35" s="208">
        <v>167.2902336</v>
      </c>
      <c r="Q35" s="208">
        <v>1</v>
      </c>
      <c r="R35" s="208">
        <v>36.39375392</v>
      </c>
      <c r="S35" s="208"/>
      <c r="T35" s="208">
        <v>2.9760480000000005</v>
      </c>
      <c r="U35" s="208">
        <v>28.6</v>
      </c>
      <c r="V35" s="208"/>
      <c r="W35" s="208"/>
      <c r="X35" s="208">
        <v>2.1</v>
      </c>
      <c r="Y35" s="208">
        <f t="shared" si="15"/>
        <v>368.775</v>
      </c>
      <c r="Z35" s="208">
        <v>9.3418</v>
      </c>
      <c r="AA35" s="208">
        <f t="shared" si="25"/>
        <v>478.8339029248</v>
      </c>
      <c r="AB35" s="208">
        <f t="shared" si="45"/>
        <v>7.0775</v>
      </c>
      <c r="AC35" s="208">
        <f t="shared" si="45"/>
        <v>49.915</v>
      </c>
      <c r="AD35" s="208">
        <f t="shared" si="45"/>
        <v>69.51595</v>
      </c>
      <c r="AE35" s="208">
        <f t="shared" si="45"/>
        <v>0.298</v>
      </c>
      <c r="AF35" s="208">
        <f t="shared" si="45"/>
        <v>249.26244806399998</v>
      </c>
      <c r="AG35" s="208">
        <f t="shared" si="45"/>
        <v>1.49</v>
      </c>
      <c r="AH35" s="208">
        <f t="shared" si="45"/>
        <v>54.226693340800004</v>
      </c>
      <c r="AI35" s="208">
        <f t="shared" si="45"/>
        <v>0</v>
      </c>
      <c r="AJ35" s="208">
        <f t="shared" si="44"/>
        <v>4.4343115200000005</v>
      </c>
      <c r="AK35" s="208">
        <f t="shared" si="44"/>
        <v>42.614000000000004</v>
      </c>
      <c r="AL35" s="208">
        <f t="shared" si="44"/>
        <v>0</v>
      </c>
      <c r="AM35" s="208">
        <f t="shared" si="44"/>
        <v>0</v>
      </c>
      <c r="AN35" s="208">
        <f t="shared" si="44"/>
        <v>3.129</v>
      </c>
      <c r="AO35" s="208">
        <f t="shared" si="26"/>
        <v>860.0797029248</v>
      </c>
      <c r="AP35" s="208">
        <f t="shared" si="27"/>
        <v>104.30599664228798</v>
      </c>
      <c r="AQ35" s="208">
        <f t="shared" si="28"/>
        <v>11572.628394805055</v>
      </c>
      <c r="AR35" s="241">
        <v>73.58</v>
      </c>
      <c r="AS35" s="210">
        <v>0.71</v>
      </c>
      <c r="AT35" s="213"/>
      <c r="AU35" s="231">
        <f t="shared" si="29"/>
        <v>1632.723806140242</v>
      </c>
      <c r="AV35" s="213">
        <f>AQ35*12.7%-41</f>
        <v>1428.723806140242</v>
      </c>
      <c r="AW35" s="214">
        <f t="shared" si="31"/>
        <v>45</v>
      </c>
      <c r="AX35" s="214">
        <f t="shared" si="32"/>
        <v>142</v>
      </c>
      <c r="AY35" s="215">
        <f t="shared" si="33"/>
        <v>17</v>
      </c>
      <c r="AZ35" s="213">
        <f t="shared" si="34"/>
        <v>10014</v>
      </c>
      <c r="BA35" s="216">
        <f t="shared" si="35"/>
        <v>1035</v>
      </c>
      <c r="BB35" s="213">
        <f t="shared" si="17"/>
        <v>1035</v>
      </c>
      <c r="BC35" s="211"/>
      <c r="BD35" s="217">
        <f t="shared" si="18"/>
        <v>2008</v>
      </c>
      <c r="BE35" s="215">
        <f t="shared" si="41"/>
        <v>2008</v>
      </c>
      <c r="BF35" s="216"/>
      <c r="BG35" s="217">
        <f t="shared" si="36"/>
        <v>456</v>
      </c>
      <c r="BH35" s="217">
        <v>97</v>
      </c>
      <c r="BI35" s="217">
        <v>359</v>
      </c>
      <c r="BJ35" s="217">
        <v>1271</v>
      </c>
      <c r="BK35" s="217"/>
      <c r="BL35" s="217">
        <v>281</v>
      </c>
      <c r="BM35" s="217"/>
      <c r="BN35" s="217"/>
      <c r="BO35" s="215">
        <f t="shared" si="42"/>
        <v>0</v>
      </c>
      <c r="BP35" s="217"/>
      <c r="BQ35" s="217"/>
      <c r="BR35" s="217"/>
      <c r="BS35" s="217"/>
      <c r="BT35" s="217"/>
      <c r="BU35" s="217"/>
      <c r="BV35" s="217"/>
      <c r="BW35" s="217">
        <f t="shared" si="37"/>
        <v>0</v>
      </c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5">
        <f t="shared" si="19"/>
        <v>13057</v>
      </c>
      <c r="CN35" s="220">
        <f t="shared" si="38"/>
        <v>45</v>
      </c>
      <c r="CO35" s="220">
        <f>'[2]Thu'!T184</f>
        <v>6</v>
      </c>
      <c r="CP35" s="221">
        <f t="shared" si="13"/>
        <v>38.800000000000004</v>
      </c>
      <c r="CQ35" s="219">
        <v>4</v>
      </c>
      <c r="CR35" s="220">
        <f t="shared" si="20"/>
        <v>43</v>
      </c>
      <c r="CT35" s="219">
        <f t="shared" si="39"/>
        <v>15</v>
      </c>
      <c r="CU35" s="222">
        <f t="shared" si="21"/>
        <v>14</v>
      </c>
      <c r="CV35" s="223">
        <v>1</v>
      </c>
      <c r="CY35" s="224">
        <f>CV35*F32</f>
        <v>41</v>
      </c>
      <c r="DB35" s="225">
        <f t="shared" si="22"/>
        <v>272</v>
      </c>
      <c r="DC35" s="219">
        <v>0.758</v>
      </c>
      <c r="DD35" s="225">
        <f>'[2]Biểu 38'!AT43</f>
        <v>13657</v>
      </c>
      <c r="DE35" s="221">
        <f t="shared" si="23"/>
        <v>-600</v>
      </c>
      <c r="DI35" s="226">
        <f t="shared" si="4"/>
        <v>11049</v>
      </c>
      <c r="DJ35" s="226">
        <f t="shared" si="5"/>
        <v>2008</v>
      </c>
      <c r="DL35" s="220">
        <f t="shared" si="6"/>
        <v>159</v>
      </c>
      <c r="DM35" s="227">
        <f t="shared" si="7"/>
        <v>0</v>
      </c>
      <c r="DN35" s="220">
        <f t="shared" si="8"/>
        <v>2008</v>
      </c>
      <c r="DQ35" s="242" t="s">
        <v>463</v>
      </c>
      <c r="DZ35" s="229">
        <f t="shared" si="9"/>
        <v>11049</v>
      </c>
      <c r="EA35" s="229">
        <f t="shared" si="10"/>
        <v>2008</v>
      </c>
    </row>
    <row r="36" spans="1:131" s="219" customFormat="1" ht="15.75">
      <c r="A36" s="204">
        <v>24</v>
      </c>
      <c r="B36" s="205" t="s">
        <v>367</v>
      </c>
      <c r="C36" s="206">
        <f>SUM(D36:E36)</f>
        <v>54</v>
      </c>
      <c r="D36" s="207">
        <v>51</v>
      </c>
      <c r="E36" s="207">
        <v>3</v>
      </c>
      <c r="F36" s="206">
        <f t="shared" si="24"/>
        <v>40</v>
      </c>
      <c r="G36" s="206">
        <v>37</v>
      </c>
      <c r="H36" s="206">
        <v>3</v>
      </c>
      <c r="I36" s="206"/>
      <c r="J36" s="208">
        <v>109.32</v>
      </c>
      <c r="K36" s="208">
        <f t="shared" si="40"/>
        <v>163.138</v>
      </c>
      <c r="L36" s="208">
        <v>3.8</v>
      </c>
      <c r="M36" s="208">
        <v>25.9</v>
      </c>
      <c r="N36" s="208">
        <v>32.38199999999999</v>
      </c>
      <c r="O36" s="208"/>
      <c r="P36" s="208">
        <v>76.118</v>
      </c>
      <c r="Q36" s="208">
        <v>0.7</v>
      </c>
      <c r="R36" s="208">
        <v>10.038</v>
      </c>
      <c r="S36" s="208"/>
      <c r="T36" s="208"/>
      <c r="U36" s="208">
        <v>13.3</v>
      </c>
      <c r="V36" s="208"/>
      <c r="W36" s="208"/>
      <c r="X36" s="208">
        <v>0.9</v>
      </c>
      <c r="Y36" s="208">
        <f t="shared" si="15"/>
        <v>162.8868</v>
      </c>
      <c r="Z36" s="208">
        <v>15.78208</v>
      </c>
      <c r="AA36" s="208">
        <f t="shared" si="25"/>
        <v>241.73462</v>
      </c>
      <c r="AB36" s="208">
        <f t="shared" si="45"/>
        <v>5.662</v>
      </c>
      <c r="AC36" s="208">
        <f t="shared" si="45"/>
        <v>38.591</v>
      </c>
      <c r="AD36" s="208">
        <f t="shared" si="45"/>
        <v>48.24917999999999</v>
      </c>
      <c r="AE36" s="208">
        <f t="shared" si="45"/>
        <v>0</v>
      </c>
      <c r="AF36" s="208">
        <f t="shared" si="45"/>
        <v>113.41582</v>
      </c>
      <c r="AG36" s="208">
        <f t="shared" si="45"/>
        <v>1.043</v>
      </c>
      <c r="AH36" s="208">
        <f t="shared" si="45"/>
        <v>14.956620000000001</v>
      </c>
      <c r="AI36" s="208">
        <f t="shared" si="45"/>
        <v>0</v>
      </c>
      <c r="AJ36" s="208">
        <f t="shared" si="44"/>
        <v>0</v>
      </c>
      <c r="AK36" s="208">
        <f t="shared" si="44"/>
        <v>19.817</v>
      </c>
      <c r="AL36" s="208">
        <f t="shared" si="44"/>
        <v>0</v>
      </c>
      <c r="AM36" s="208">
        <f t="shared" si="44"/>
        <v>0</v>
      </c>
      <c r="AN36" s="208">
        <f t="shared" si="44"/>
        <v>1.341</v>
      </c>
      <c r="AO36" s="208">
        <f t="shared" si="26"/>
        <v>421.7445</v>
      </c>
      <c r="AP36" s="208">
        <f t="shared" si="27"/>
        <v>46.832562499999995</v>
      </c>
      <c r="AQ36" s="208">
        <f t="shared" si="28"/>
        <v>5622.92475</v>
      </c>
      <c r="AR36" s="243">
        <v>20</v>
      </c>
      <c r="AS36" s="210"/>
      <c r="AT36" s="213"/>
      <c r="AU36" s="231">
        <f t="shared" si="29"/>
        <v>862.11144325</v>
      </c>
      <c r="AV36" s="213">
        <f t="shared" si="30"/>
        <v>714.11144325</v>
      </c>
      <c r="AW36" s="214">
        <f t="shared" si="31"/>
        <v>31</v>
      </c>
      <c r="AX36" s="214">
        <f t="shared" si="32"/>
        <v>105</v>
      </c>
      <c r="AY36" s="215">
        <f t="shared" si="33"/>
        <v>12</v>
      </c>
      <c r="AZ36" s="213">
        <f t="shared" si="34"/>
        <v>4781</v>
      </c>
      <c r="BA36" s="216">
        <f t="shared" si="35"/>
        <v>760</v>
      </c>
      <c r="BB36" s="213">
        <f t="shared" si="17"/>
        <v>760</v>
      </c>
      <c r="BC36" s="211"/>
      <c r="BD36" s="217">
        <f t="shared" si="18"/>
        <v>3089</v>
      </c>
      <c r="BE36" s="215">
        <f t="shared" si="41"/>
        <v>3089</v>
      </c>
      <c r="BF36" s="216"/>
      <c r="BG36" s="217">
        <f t="shared" si="36"/>
        <v>617</v>
      </c>
      <c r="BH36" s="217">
        <v>73</v>
      </c>
      <c r="BI36" s="217">
        <v>544</v>
      </c>
      <c r="BJ36" s="217">
        <v>2437</v>
      </c>
      <c r="BK36" s="217"/>
      <c r="BL36" s="217">
        <v>35</v>
      </c>
      <c r="BM36" s="217"/>
      <c r="BN36" s="217"/>
      <c r="BO36" s="215">
        <f t="shared" si="42"/>
        <v>0</v>
      </c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5">
        <f t="shared" si="19"/>
        <v>8630</v>
      </c>
      <c r="CN36" s="220">
        <f t="shared" si="38"/>
        <v>31</v>
      </c>
      <c r="CO36" s="220">
        <f>'[2]Thu'!T191</f>
        <v>1.984</v>
      </c>
      <c r="CP36" s="221">
        <f t="shared" si="13"/>
        <v>29.200000000000003</v>
      </c>
      <c r="CR36" s="220">
        <f t="shared" si="20"/>
        <v>29</v>
      </c>
      <c r="CT36" s="219">
        <f t="shared" si="39"/>
        <v>19</v>
      </c>
      <c r="CU36" s="222">
        <f t="shared" si="21"/>
        <v>18</v>
      </c>
      <c r="CV36" s="223">
        <v>1</v>
      </c>
      <c r="CY36" s="224">
        <f>CV36*F33</f>
        <v>52</v>
      </c>
      <c r="DB36" s="225">
        <f t="shared" si="22"/>
        <v>412</v>
      </c>
      <c r="DC36" s="219">
        <v>0.758</v>
      </c>
      <c r="DD36" s="225">
        <f>'[2]Biểu 38'!AT44</f>
        <v>8576</v>
      </c>
      <c r="DE36" s="221">
        <f t="shared" si="23"/>
        <v>54</v>
      </c>
      <c r="DI36" s="226">
        <f t="shared" si="4"/>
        <v>5541</v>
      </c>
      <c r="DJ36" s="226">
        <f t="shared" si="5"/>
        <v>3089</v>
      </c>
      <c r="DL36" s="220">
        <f t="shared" si="6"/>
        <v>117</v>
      </c>
      <c r="DM36" s="227">
        <f t="shared" si="7"/>
        <v>0</v>
      </c>
      <c r="DN36" s="220">
        <f t="shared" si="8"/>
        <v>3089</v>
      </c>
      <c r="DQ36" s="242" t="s">
        <v>464</v>
      </c>
      <c r="DZ36" s="229">
        <f t="shared" si="9"/>
        <v>5541</v>
      </c>
      <c r="EA36" s="229">
        <f t="shared" si="10"/>
        <v>3089</v>
      </c>
    </row>
    <row r="37" spans="1:133" s="143" customFormat="1" ht="15.75">
      <c r="A37" s="244" t="s">
        <v>368</v>
      </c>
      <c r="B37" s="340" t="s">
        <v>369</v>
      </c>
      <c r="C37" s="344">
        <f>SUM(C38:C45)</f>
        <v>349</v>
      </c>
      <c r="D37" s="344">
        <f>SUM(D38:D45)</f>
        <v>290</v>
      </c>
      <c r="E37" s="344">
        <f>SUM(E38:E45)</f>
        <v>59</v>
      </c>
      <c r="F37" s="344">
        <f aca="true" t="shared" si="46" ref="F37:BQ37">SUM(F38:F45)</f>
        <v>320</v>
      </c>
      <c r="G37" s="344">
        <f t="shared" si="46"/>
        <v>264</v>
      </c>
      <c r="H37" s="344">
        <f t="shared" si="46"/>
        <v>56</v>
      </c>
      <c r="I37" s="344">
        <f t="shared" si="46"/>
        <v>2800</v>
      </c>
      <c r="J37" s="345">
        <f t="shared" si="46"/>
        <v>879.0099999999999</v>
      </c>
      <c r="K37" s="345">
        <f t="shared" si="46"/>
        <v>1032.37299</v>
      </c>
      <c r="L37" s="345">
        <f t="shared" si="46"/>
        <v>23.849999999999998</v>
      </c>
      <c r="M37" s="345">
        <f t="shared" si="46"/>
        <v>156.79999999999998</v>
      </c>
      <c r="N37" s="345">
        <f t="shared" si="46"/>
        <v>31.759</v>
      </c>
      <c r="O37" s="345">
        <f t="shared" si="46"/>
        <v>0.8</v>
      </c>
      <c r="P37" s="345">
        <f t="shared" si="46"/>
        <v>526.31574</v>
      </c>
      <c r="Q37" s="345">
        <f t="shared" si="46"/>
        <v>73.5</v>
      </c>
      <c r="R37" s="345">
        <f t="shared" si="46"/>
        <v>67.99565000000001</v>
      </c>
      <c r="S37" s="345">
        <f t="shared" si="46"/>
        <v>120.646</v>
      </c>
      <c r="T37" s="345">
        <f t="shared" si="46"/>
        <v>2.1066000000000003</v>
      </c>
      <c r="U37" s="345">
        <f t="shared" si="46"/>
        <v>20.5</v>
      </c>
      <c r="V37" s="345">
        <f t="shared" si="46"/>
        <v>0</v>
      </c>
      <c r="W37" s="345">
        <f t="shared" si="46"/>
        <v>0.3</v>
      </c>
      <c r="X37" s="345">
        <f t="shared" si="46"/>
        <v>7.8</v>
      </c>
      <c r="Y37" s="345">
        <f t="shared" si="46"/>
        <v>1309.7249</v>
      </c>
      <c r="Z37" s="345">
        <f t="shared" si="46"/>
        <v>247.57347</v>
      </c>
      <c r="AA37" s="345">
        <f t="shared" si="46"/>
        <v>1526.6137551000002</v>
      </c>
      <c r="AB37" s="345">
        <f t="shared" si="46"/>
        <v>35.5365</v>
      </c>
      <c r="AC37" s="345">
        <f t="shared" si="46"/>
        <v>233.63199999999992</v>
      </c>
      <c r="AD37" s="345">
        <f t="shared" si="46"/>
        <v>47.32091</v>
      </c>
      <c r="AE37" s="345">
        <f t="shared" si="46"/>
        <v>1.192</v>
      </c>
      <c r="AF37" s="345">
        <f t="shared" si="46"/>
        <v>784.2104526</v>
      </c>
      <c r="AG37" s="345">
        <f t="shared" si="46"/>
        <v>109.515</v>
      </c>
      <c r="AH37" s="345">
        <f t="shared" si="46"/>
        <v>101.3135185</v>
      </c>
      <c r="AI37" s="345">
        <f t="shared" si="46"/>
        <v>179.76254</v>
      </c>
      <c r="AJ37" s="345">
        <f t="shared" si="46"/>
        <v>3.138834</v>
      </c>
      <c r="AK37" s="345">
        <f t="shared" si="46"/>
        <v>30.545</v>
      </c>
      <c r="AL37" s="345">
        <f t="shared" si="46"/>
        <v>0</v>
      </c>
      <c r="AM37" s="345">
        <f t="shared" si="46"/>
        <v>0.447</v>
      </c>
      <c r="AN37" s="345">
        <f t="shared" si="46"/>
        <v>11.621999999999998</v>
      </c>
      <c r="AO37" s="345">
        <f t="shared" si="46"/>
        <v>3095.5341251</v>
      </c>
      <c r="AP37" s="345">
        <f t="shared" si="46"/>
        <v>398.8624972875</v>
      </c>
      <c r="AQ37" s="345">
        <f t="shared" si="46"/>
        <v>41932.75946865</v>
      </c>
      <c r="AR37" s="345">
        <f t="shared" si="46"/>
        <v>517.22</v>
      </c>
      <c r="AS37" s="345">
        <f t="shared" si="46"/>
        <v>75.80999999999999</v>
      </c>
      <c r="AT37" s="345">
        <f t="shared" si="46"/>
        <v>0</v>
      </c>
      <c r="AU37" s="345">
        <f t="shared" si="46"/>
        <v>1651</v>
      </c>
      <c r="AV37" s="345">
        <f t="shared" si="46"/>
        <v>0</v>
      </c>
      <c r="AW37" s="345">
        <f t="shared" si="46"/>
        <v>155</v>
      </c>
      <c r="AX37" s="345">
        <f t="shared" si="46"/>
        <v>1340</v>
      </c>
      <c r="AY37" s="364">
        <f t="shared" si="46"/>
        <v>156</v>
      </c>
      <c r="AZ37" s="345">
        <f t="shared" si="46"/>
        <v>40874</v>
      </c>
      <c r="BA37" s="345">
        <f t="shared" si="46"/>
        <v>9743</v>
      </c>
      <c r="BB37" s="345">
        <f t="shared" si="46"/>
        <v>9743</v>
      </c>
      <c r="BC37" s="345">
        <f t="shared" si="46"/>
        <v>0</v>
      </c>
      <c r="BD37" s="344">
        <f t="shared" si="46"/>
        <v>38070</v>
      </c>
      <c r="BE37" s="344">
        <f t="shared" si="46"/>
        <v>36422</v>
      </c>
      <c r="BF37" s="345">
        <f t="shared" si="46"/>
        <v>36000</v>
      </c>
      <c r="BG37" s="344">
        <f t="shared" si="46"/>
        <v>387</v>
      </c>
      <c r="BH37" s="344">
        <f t="shared" si="46"/>
        <v>387</v>
      </c>
      <c r="BI37" s="344">
        <f t="shared" si="46"/>
        <v>0</v>
      </c>
      <c r="BJ37" s="344">
        <f t="shared" si="46"/>
        <v>0</v>
      </c>
      <c r="BK37" s="344">
        <f t="shared" si="46"/>
        <v>35</v>
      </c>
      <c r="BL37" s="344">
        <f t="shared" si="46"/>
        <v>0</v>
      </c>
      <c r="BM37" s="344">
        <f t="shared" si="46"/>
        <v>0</v>
      </c>
      <c r="BN37" s="344">
        <f t="shared" si="46"/>
        <v>0</v>
      </c>
      <c r="BO37" s="344">
        <f t="shared" si="46"/>
        <v>1648</v>
      </c>
      <c r="BP37" s="344">
        <f t="shared" si="46"/>
        <v>0</v>
      </c>
      <c r="BQ37" s="344">
        <f t="shared" si="46"/>
        <v>0</v>
      </c>
      <c r="BR37" s="344">
        <f aca="true" t="shared" si="47" ref="BR37:CJ37">SUM(BR38:BR45)</f>
        <v>0</v>
      </c>
      <c r="BS37" s="344">
        <f t="shared" si="47"/>
        <v>0</v>
      </c>
      <c r="BT37" s="344">
        <f t="shared" si="47"/>
        <v>1232</v>
      </c>
      <c r="BU37" s="344">
        <f t="shared" si="47"/>
        <v>416</v>
      </c>
      <c r="BV37" s="344">
        <f t="shared" si="47"/>
        <v>0</v>
      </c>
      <c r="BW37" s="344">
        <f t="shared" si="47"/>
        <v>0</v>
      </c>
      <c r="BX37" s="344">
        <f t="shared" si="47"/>
        <v>0</v>
      </c>
      <c r="BY37" s="344">
        <f t="shared" si="47"/>
        <v>0</v>
      </c>
      <c r="BZ37" s="344">
        <f t="shared" si="47"/>
        <v>0</v>
      </c>
      <c r="CA37" s="344">
        <f t="shared" si="47"/>
        <v>0</v>
      </c>
      <c r="CB37" s="344">
        <f t="shared" si="47"/>
        <v>0</v>
      </c>
      <c r="CC37" s="344">
        <f t="shared" si="47"/>
        <v>0</v>
      </c>
      <c r="CD37" s="344">
        <f t="shared" si="47"/>
        <v>0</v>
      </c>
      <c r="CE37" s="344">
        <f t="shared" si="47"/>
        <v>0</v>
      </c>
      <c r="CF37" s="344">
        <f t="shared" si="47"/>
        <v>0</v>
      </c>
      <c r="CG37" s="344">
        <f t="shared" si="47"/>
        <v>0</v>
      </c>
      <c r="CH37" s="344">
        <f t="shared" si="47"/>
        <v>0</v>
      </c>
      <c r="CI37" s="344">
        <f t="shared" si="47"/>
        <v>0</v>
      </c>
      <c r="CJ37" s="344">
        <f t="shared" si="47"/>
        <v>88687</v>
      </c>
      <c r="CK37" s="256"/>
      <c r="CL37" s="256"/>
      <c r="CM37" s="257">
        <v>33568</v>
      </c>
      <c r="CN37" s="220">
        <f t="shared" si="38"/>
        <v>155</v>
      </c>
      <c r="CO37" s="257"/>
      <c r="CP37" s="221">
        <f t="shared" si="13"/>
        <v>154.8</v>
      </c>
      <c r="CQ37" s="221"/>
      <c r="CR37" s="258">
        <f t="shared" si="20"/>
        <v>155</v>
      </c>
      <c r="CS37" s="256"/>
      <c r="CT37" s="256"/>
      <c r="CU37" s="222"/>
      <c r="CV37" s="256"/>
      <c r="CW37" s="256"/>
      <c r="CX37" s="345">
        <f>SUM(CX38:CX45)</f>
        <v>90</v>
      </c>
      <c r="CY37" s="345">
        <f>SUM(CY38:CY45)</f>
        <v>232.5</v>
      </c>
      <c r="CZ37" s="256"/>
      <c r="DA37" s="221">
        <f>CX37+CZ12</f>
        <v>207</v>
      </c>
      <c r="DB37" s="345">
        <f>SUM(DB38:DB45)</f>
        <v>0</v>
      </c>
      <c r="DC37" s="219">
        <v>0.758</v>
      </c>
      <c r="DD37" s="256">
        <f>'[2]Biểu 38'!AT45</f>
        <v>85082</v>
      </c>
      <c r="DE37" s="256"/>
      <c r="DF37" s="256"/>
      <c r="DG37" s="256"/>
      <c r="DH37" s="256"/>
      <c r="DI37" s="365">
        <f t="shared" si="4"/>
        <v>50617</v>
      </c>
      <c r="DJ37" s="365">
        <f t="shared" si="5"/>
        <v>38070</v>
      </c>
      <c r="DK37" s="256"/>
      <c r="DL37" s="220">
        <f t="shared" si="6"/>
        <v>1496</v>
      </c>
      <c r="DM37" s="227">
        <f t="shared" si="7"/>
        <v>0</v>
      </c>
      <c r="DN37" s="220">
        <f t="shared" si="8"/>
        <v>36838</v>
      </c>
      <c r="DO37" s="256"/>
      <c r="DP37" s="256"/>
      <c r="DQ37" s="256"/>
      <c r="DR37" s="256"/>
      <c r="DS37" s="256"/>
      <c r="DT37" s="256"/>
      <c r="DU37" s="256"/>
      <c r="DV37" s="256"/>
      <c r="DW37" s="256"/>
      <c r="DX37" s="256"/>
      <c r="DY37" s="256"/>
      <c r="DZ37" s="229">
        <f t="shared" si="9"/>
        <v>50617</v>
      </c>
      <c r="EA37" s="229">
        <f t="shared" si="10"/>
        <v>38070</v>
      </c>
      <c r="EB37" s="256"/>
      <c r="EC37" s="256"/>
    </row>
    <row r="38" spans="1:131" s="219" customFormat="1" ht="15.75">
      <c r="A38" s="204">
        <v>1</v>
      </c>
      <c r="B38" s="205" t="s">
        <v>370</v>
      </c>
      <c r="C38" s="206">
        <f aca="true" t="shared" si="48" ref="C38:C52">SUM(D38:E38)</f>
        <v>45</v>
      </c>
      <c r="D38" s="207">
        <v>37</v>
      </c>
      <c r="E38" s="207">
        <v>8</v>
      </c>
      <c r="F38" s="206">
        <f t="shared" si="24"/>
        <v>45</v>
      </c>
      <c r="G38" s="206">
        <v>37</v>
      </c>
      <c r="H38" s="206">
        <v>8</v>
      </c>
      <c r="I38" s="206">
        <v>350</v>
      </c>
      <c r="J38" s="208">
        <v>144.29</v>
      </c>
      <c r="K38" s="208">
        <f t="shared" si="40"/>
        <v>140.16358</v>
      </c>
      <c r="L38" s="208">
        <v>3.1499999999999995</v>
      </c>
      <c r="M38" s="208">
        <v>18.5</v>
      </c>
      <c r="N38" s="208"/>
      <c r="O38" s="208">
        <v>0.2</v>
      </c>
      <c r="P38" s="208">
        <v>88.06978</v>
      </c>
      <c r="Q38" s="208">
        <v>10.3</v>
      </c>
      <c r="R38" s="208">
        <v>17.298400000000008</v>
      </c>
      <c r="S38" s="208"/>
      <c r="T38" s="208">
        <v>1.1454000000000002</v>
      </c>
      <c r="U38" s="208"/>
      <c r="V38" s="208"/>
      <c r="W38" s="208"/>
      <c r="X38" s="208">
        <v>1.5</v>
      </c>
      <c r="Y38" s="208">
        <f aca="true" t="shared" si="49" ref="Y38:Y58">J38*1.49</f>
        <v>214.9921</v>
      </c>
      <c r="Z38" s="208">
        <v>31.556512</v>
      </c>
      <c r="AA38" s="208">
        <f t="shared" si="25"/>
        <v>206.60873420000001</v>
      </c>
      <c r="AB38" s="208">
        <f aca="true" t="shared" si="50" ref="AB38:AN57">L38*1.49</f>
        <v>4.693499999999999</v>
      </c>
      <c r="AC38" s="208">
        <f t="shared" si="50"/>
        <v>27.565</v>
      </c>
      <c r="AD38" s="208">
        <f t="shared" si="50"/>
        <v>0</v>
      </c>
      <c r="AE38" s="208">
        <f t="shared" si="50"/>
        <v>0.298</v>
      </c>
      <c r="AF38" s="208">
        <f t="shared" si="50"/>
        <v>131.2239722</v>
      </c>
      <c r="AG38" s="208">
        <f t="shared" si="50"/>
        <v>15.347000000000001</v>
      </c>
      <c r="AH38" s="208">
        <f t="shared" si="50"/>
        <v>25.774616000000012</v>
      </c>
      <c r="AI38" s="208">
        <f t="shared" si="50"/>
        <v>0</v>
      </c>
      <c r="AJ38" s="208">
        <f t="shared" si="50"/>
        <v>1.7066460000000003</v>
      </c>
      <c r="AK38" s="208">
        <f t="shared" si="50"/>
        <v>0</v>
      </c>
      <c r="AL38" s="208">
        <f t="shared" si="50"/>
        <v>0</v>
      </c>
      <c r="AM38" s="208">
        <f t="shared" si="50"/>
        <v>0</v>
      </c>
      <c r="AN38" s="208">
        <f t="shared" si="50"/>
        <v>2.235</v>
      </c>
      <c r="AO38" s="208">
        <f t="shared" si="26"/>
        <v>455.3923462</v>
      </c>
      <c r="AP38" s="208">
        <f t="shared" si="27"/>
        <v>65.49999289</v>
      </c>
      <c r="AQ38" s="208">
        <f t="shared" si="28"/>
        <v>6250.708069080001</v>
      </c>
      <c r="AR38" s="209">
        <f>81.79</f>
        <v>81.79</v>
      </c>
      <c r="AS38" s="210">
        <v>6.5</v>
      </c>
      <c r="AT38" s="211"/>
      <c r="AU38" s="231">
        <f t="shared" si="29"/>
        <v>213</v>
      </c>
      <c r="AV38" s="211"/>
      <c r="AW38" s="214">
        <f t="shared" si="31"/>
        <v>20</v>
      </c>
      <c r="AX38" s="214">
        <f t="shared" si="32"/>
        <v>173</v>
      </c>
      <c r="AY38" s="215">
        <f t="shared" si="33"/>
        <v>20</v>
      </c>
      <c r="AZ38" s="213">
        <f t="shared" si="34"/>
        <v>6126</v>
      </c>
      <c r="BA38" s="216">
        <f t="shared" si="35"/>
        <v>1260</v>
      </c>
      <c r="BB38" s="213">
        <f aca="true" t="shared" si="51" ref="BB38:BB49">ROUND(F38*CT38,0)</f>
        <v>1260</v>
      </c>
      <c r="BC38" s="211"/>
      <c r="BD38" s="217">
        <f>BE38+BO38+BV38+BW38+CH38+CI38</f>
        <v>4770</v>
      </c>
      <c r="BE38" s="215">
        <f t="shared" si="41"/>
        <v>4564</v>
      </c>
      <c r="BF38" s="216">
        <f>4500</f>
        <v>4500</v>
      </c>
      <c r="BG38" s="217">
        <f t="shared" si="36"/>
        <v>50</v>
      </c>
      <c r="BH38" s="217">
        <v>50</v>
      </c>
      <c r="BI38" s="217"/>
      <c r="BJ38" s="217"/>
      <c r="BK38" s="217">
        <v>14</v>
      </c>
      <c r="BL38" s="217"/>
      <c r="BM38" s="217"/>
      <c r="BN38" s="217"/>
      <c r="BO38" s="215">
        <f t="shared" si="42"/>
        <v>206</v>
      </c>
      <c r="BP38" s="217"/>
      <c r="BQ38" s="217"/>
      <c r="BR38" s="217"/>
      <c r="BS38" s="217"/>
      <c r="BT38" s="217">
        <v>154</v>
      </c>
      <c r="BU38" s="217">
        <f aca="true" t="shared" si="52" ref="BU38:BU45">ROUND(I38*0.1475,0)</f>
        <v>52</v>
      </c>
      <c r="BV38" s="217"/>
      <c r="BW38" s="217">
        <f t="shared" si="37"/>
        <v>0</v>
      </c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5">
        <f aca="true" t="shared" si="53" ref="CJ38:CJ58">AZ38+BA38+BD38</f>
        <v>12156</v>
      </c>
      <c r="CN38" s="220">
        <f t="shared" si="38"/>
        <v>20</v>
      </c>
      <c r="CP38" s="221">
        <f t="shared" si="13"/>
        <v>20</v>
      </c>
      <c r="CR38" s="220">
        <f t="shared" si="20"/>
        <v>20</v>
      </c>
      <c r="CT38" s="219">
        <f>CU38+CV38-CW38</f>
        <v>28</v>
      </c>
      <c r="CU38" s="222">
        <v>30</v>
      </c>
      <c r="CV38" s="223"/>
      <c r="CW38" s="219">
        <v>2</v>
      </c>
      <c r="CX38" s="224">
        <f>F38*CW38</f>
        <v>90</v>
      </c>
      <c r="CY38" s="224">
        <f aca="true" t="shared" si="54" ref="CY38:CY45">CV38*F38</f>
        <v>0</v>
      </c>
      <c r="DB38" s="225">
        <f aca="true" t="shared" si="55" ref="DB38:DB49">ROUND(DC38*BI38,0)</f>
        <v>0</v>
      </c>
      <c r="DC38" s="219">
        <v>0.758</v>
      </c>
      <c r="DD38" s="219">
        <f>'[2]Biểu 38'!AT46</f>
        <v>11696</v>
      </c>
      <c r="DE38" s="227">
        <f>CJ38-DD38</f>
        <v>460</v>
      </c>
      <c r="DI38" s="226">
        <f t="shared" si="4"/>
        <v>7386</v>
      </c>
      <c r="DJ38" s="226">
        <f t="shared" si="5"/>
        <v>4770</v>
      </c>
      <c r="DL38" s="220">
        <f t="shared" si="6"/>
        <v>193</v>
      </c>
      <c r="DM38" s="227">
        <f t="shared" si="7"/>
        <v>0</v>
      </c>
      <c r="DN38" s="220">
        <f t="shared" si="8"/>
        <v>4616</v>
      </c>
      <c r="DO38" s="219">
        <f>1500/3400</f>
        <v>0.4411764705882353</v>
      </c>
      <c r="DP38" s="219">
        <f>ROUND(DO38*I38,0)</f>
        <v>154</v>
      </c>
      <c r="DQ38" s="263" t="s">
        <v>465</v>
      </c>
      <c r="DZ38" s="229">
        <f t="shared" si="9"/>
        <v>7386</v>
      </c>
      <c r="EA38" s="229">
        <f t="shared" si="10"/>
        <v>4770</v>
      </c>
    </row>
    <row r="39" spans="1:131" s="219" customFormat="1" ht="15.75">
      <c r="A39" s="230">
        <v>2</v>
      </c>
      <c r="B39" s="205" t="s">
        <v>371</v>
      </c>
      <c r="C39" s="206">
        <f t="shared" si="48"/>
        <v>44</v>
      </c>
      <c r="D39" s="207">
        <v>36</v>
      </c>
      <c r="E39" s="207">
        <v>8</v>
      </c>
      <c r="F39" s="206">
        <f t="shared" si="24"/>
        <v>40</v>
      </c>
      <c r="G39" s="206">
        <v>33</v>
      </c>
      <c r="H39" s="206">
        <v>7</v>
      </c>
      <c r="I39" s="206">
        <v>350</v>
      </c>
      <c r="J39" s="208">
        <v>104.24</v>
      </c>
      <c r="K39" s="208">
        <f t="shared" si="40"/>
        <v>106.341</v>
      </c>
      <c r="L39" s="208">
        <v>3.3999999999999995</v>
      </c>
      <c r="M39" s="208">
        <v>23.099999999999987</v>
      </c>
      <c r="N39" s="208"/>
      <c r="O39" s="208">
        <v>0.2</v>
      </c>
      <c r="P39" s="208">
        <v>62.334999999999994</v>
      </c>
      <c r="Q39" s="208">
        <v>9.4</v>
      </c>
      <c r="R39" s="208">
        <v>6.406000000000001</v>
      </c>
      <c r="S39" s="208"/>
      <c r="T39" s="208"/>
      <c r="U39" s="208"/>
      <c r="V39" s="208"/>
      <c r="W39" s="208"/>
      <c r="X39" s="208">
        <v>1.5</v>
      </c>
      <c r="Y39" s="208">
        <f t="shared" si="49"/>
        <v>155.3176</v>
      </c>
      <c r="Z39" s="208">
        <v>24.3788</v>
      </c>
      <c r="AA39" s="208">
        <f t="shared" si="25"/>
        <v>156.21309</v>
      </c>
      <c r="AB39" s="208">
        <f t="shared" si="50"/>
        <v>5.065999999999999</v>
      </c>
      <c r="AC39" s="208">
        <f t="shared" si="50"/>
        <v>34.41899999999998</v>
      </c>
      <c r="AD39" s="208">
        <f t="shared" si="50"/>
        <v>0</v>
      </c>
      <c r="AE39" s="208">
        <f t="shared" si="50"/>
        <v>0.298</v>
      </c>
      <c r="AF39" s="208">
        <f t="shared" si="50"/>
        <v>92.87915</v>
      </c>
      <c r="AG39" s="208">
        <f t="shared" si="50"/>
        <v>14.006</v>
      </c>
      <c r="AH39" s="208">
        <f t="shared" si="50"/>
        <v>9.54494</v>
      </c>
      <c r="AI39" s="208">
        <f t="shared" si="50"/>
        <v>0</v>
      </c>
      <c r="AJ39" s="208">
        <f t="shared" si="50"/>
        <v>0</v>
      </c>
      <c r="AK39" s="208">
        <f t="shared" si="50"/>
        <v>0</v>
      </c>
      <c r="AL39" s="208">
        <f t="shared" si="50"/>
        <v>0</v>
      </c>
      <c r="AM39" s="208">
        <f t="shared" si="50"/>
        <v>0</v>
      </c>
      <c r="AN39" s="208">
        <f t="shared" si="50"/>
        <v>2.235</v>
      </c>
      <c r="AO39" s="208">
        <f t="shared" si="26"/>
        <v>338.14449</v>
      </c>
      <c r="AP39" s="208">
        <f t="shared" si="27"/>
        <v>45.6622249</v>
      </c>
      <c r="AQ39" s="208">
        <f t="shared" si="28"/>
        <v>4605.6805788</v>
      </c>
      <c r="AR39" s="276">
        <f>57</f>
        <v>57</v>
      </c>
      <c r="AS39" s="210">
        <v>6.06</v>
      </c>
      <c r="AT39" s="213"/>
      <c r="AU39" s="231">
        <f t="shared" si="29"/>
        <v>207</v>
      </c>
      <c r="AV39" s="211"/>
      <c r="AW39" s="214">
        <f t="shared" si="31"/>
        <v>19</v>
      </c>
      <c r="AX39" s="214">
        <f t="shared" si="32"/>
        <v>168</v>
      </c>
      <c r="AY39" s="215">
        <f t="shared" si="33"/>
        <v>20</v>
      </c>
      <c r="AZ39" s="213">
        <f t="shared" si="34"/>
        <v>4462</v>
      </c>
      <c r="BA39" s="216">
        <f t="shared" si="35"/>
        <v>1220</v>
      </c>
      <c r="BB39" s="213">
        <f t="shared" si="51"/>
        <v>1220</v>
      </c>
      <c r="BC39" s="211"/>
      <c r="BD39" s="217">
        <f t="shared" si="18"/>
        <v>4754</v>
      </c>
      <c r="BE39" s="215">
        <f t="shared" si="41"/>
        <v>4548</v>
      </c>
      <c r="BF39" s="216">
        <f>4500</f>
        <v>4500</v>
      </c>
      <c r="BG39" s="217">
        <f t="shared" si="36"/>
        <v>48</v>
      </c>
      <c r="BH39" s="217">
        <v>48</v>
      </c>
      <c r="BI39" s="217"/>
      <c r="BJ39" s="217"/>
      <c r="BK39" s="217"/>
      <c r="BL39" s="217"/>
      <c r="BM39" s="217"/>
      <c r="BN39" s="217"/>
      <c r="BO39" s="215">
        <f t="shared" si="42"/>
        <v>206</v>
      </c>
      <c r="BP39" s="217"/>
      <c r="BQ39" s="217"/>
      <c r="BR39" s="217"/>
      <c r="BS39" s="217"/>
      <c r="BT39" s="217">
        <v>154</v>
      </c>
      <c r="BU39" s="217">
        <f t="shared" si="52"/>
        <v>52</v>
      </c>
      <c r="BV39" s="217"/>
      <c r="BW39" s="217">
        <f t="shared" si="37"/>
        <v>0</v>
      </c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5">
        <f t="shared" si="53"/>
        <v>10436</v>
      </c>
      <c r="CN39" s="220">
        <f t="shared" si="38"/>
        <v>19</v>
      </c>
      <c r="CP39" s="221">
        <f t="shared" si="13"/>
        <v>19.200000000000003</v>
      </c>
      <c r="CR39" s="220">
        <f t="shared" si="20"/>
        <v>19</v>
      </c>
      <c r="CT39" s="219">
        <f t="shared" si="39"/>
        <v>30.5</v>
      </c>
      <c r="CU39" s="222">
        <v>30</v>
      </c>
      <c r="CV39" s="223">
        <v>0.5</v>
      </c>
      <c r="CY39" s="224">
        <f t="shared" si="54"/>
        <v>20</v>
      </c>
      <c r="DB39" s="225">
        <f t="shared" si="55"/>
        <v>0</v>
      </c>
      <c r="DC39" s="219">
        <v>0.758</v>
      </c>
      <c r="DD39" s="219">
        <f>'[2]Biểu 38'!AT47</f>
        <v>10082</v>
      </c>
      <c r="DI39" s="226">
        <f t="shared" si="4"/>
        <v>5682</v>
      </c>
      <c r="DJ39" s="226">
        <f t="shared" si="5"/>
        <v>4754</v>
      </c>
      <c r="DL39" s="220">
        <f t="shared" si="6"/>
        <v>188</v>
      </c>
      <c r="DM39" s="227">
        <f t="shared" si="7"/>
        <v>0</v>
      </c>
      <c r="DN39" s="220">
        <f t="shared" si="8"/>
        <v>4600</v>
      </c>
      <c r="DO39" s="219">
        <f aca="true" t="shared" si="56" ref="DO39:DO46">1500/3400</f>
        <v>0.4411764705882353</v>
      </c>
      <c r="DP39" s="219">
        <f aca="true" t="shared" si="57" ref="DP39:DP46">ROUND(DO39*I39,0)</f>
        <v>154</v>
      </c>
      <c r="DQ39" s="263" t="s">
        <v>466</v>
      </c>
      <c r="DZ39" s="229">
        <f t="shared" si="9"/>
        <v>5682</v>
      </c>
      <c r="EA39" s="229">
        <f t="shared" si="10"/>
        <v>4754</v>
      </c>
    </row>
    <row r="40" spans="1:131" s="281" customFormat="1" ht="16.5">
      <c r="A40" s="277">
        <v>4</v>
      </c>
      <c r="B40" s="278" t="s">
        <v>372</v>
      </c>
      <c r="C40" s="279">
        <f t="shared" si="48"/>
        <v>45</v>
      </c>
      <c r="D40" s="279">
        <v>37</v>
      </c>
      <c r="E40" s="279">
        <v>8</v>
      </c>
      <c r="F40" s="279">
        <f t="shared" si="24"/>
        <v>42</v>
      </c>
      <c r="G40" s="279">
        <v>34</v>
      </c>
      <c r="H40" s="279">
        <v>8</v>
      </c>
      <c r="I40" s="279">
        <v>350</v>
      </c>
      <c r="J40" s="243">
        <v>118.32</v>
      </c>
      <c r="K40" s="243">
        <f t="shared" si="40"/>
        <v>120.226</v>
      </c>
      <c r="L40" s="243">
        <v>3.3999999999999995</v>
      </c>
      <c r="M40" s="243">
        <v>18</v>
      </c>
      <c r="N40" s="243"/>
      <c r="O40" s="243">
        <v>0.2</v>
      </c>
      <c r="P40" s="243">
        <v>74.349</v>
      </c>
      <c r="Q40" s="243">
        <v>9.299999999999999</v>
      </c>
      <c r="R40" s="243">
        <v>13.177000000000005</v>
      </c>
      <c r="S40" s="243"/>
      <c r="T40" s="243"/>
      <c r="U40" s="243"/>
      <c r="V40" s="243"/>
      <c r="W40" s="243">
        <v>0.3</v>
      </c>
      <c r="X40" s="243">
        <v>1.5</v>
      </c>
      <c r="Y40" s="243">
        <f t="shared" si="49"/>
        <v>176.2968</v>
      </c>
      <c r="Z40" s="243">
        <v>30.47081</v>
      </c>
      <c r="AA40" s="243">
        <f t="shared" si="25"/>
        <v>176.90174000000002</v>
      </c>
      <c r="AB40" s="243">
        <f t="shared" si="50"/>
        <v>5.065999999999999</v>
      </c>
      <c r="AC40" s="243">
        <f t="shared" si="50"/>
        <v>26.82</v>
      </c>
      <c r="AD40" s="243">
        <f t="shared" si="50"/>
        <v>0</v>
      </c>
      <c r="AE40" s="243">
        <f t="shared" si="50"/>
        <v>0.298</v>
      </c>
      <c r="AF40" s="243">
        <f t="shared" si="50"/>
        <v>110.78001</v>
      </c>
      <c r="AG40" s="243">
        <f t="shared" si="50"/>
        <v>13.856999999999998</v>
      </c>
      <c r="AH40" s="243">
        <f t="shared" si="50"/>
        <v>19.633730000000007</v>
      </c>
      <c r="AI40" s="243">
        <f t="shared" si="50"/>
        <v>0</v>
      </c>
      <c r="AJ40" s="243">
        <f t="shared" si="50"/>
        <v>0</v>
      </c>
      <c r="AK40" s="243">
        <f t="shared" si="50"/>
        <v>0</v>
      </c>
      <c r="AL40" s="243">
        <f t="shared" si="50"/>
        <v>0</v>
      </c>
      <c r="AM40" s="243">
        <f t="shared" si="50"/>
        <v>0.447</v>
      </c>
      <c r="AN40" s="243">
        <f t="shared" si="50"/>
        <v>2.235</v>
      </c>
      <c r="AO40" s="243">
        <f t="shared" si="26"/>
        <v>385.90435</v>
      </c>
      <c r="AP40" s="243">
        <f t="shared" si="27"/>
        <v>54.39482489999999</v>
      </c>
      <c r="AQ40" s="243">
        <f t="shared" si="28"/>
        <v>5283.5900988</v>
      </c>
      <c r="AR40" s="209">
        <v>21.52</v>
      </c>
      <c r="AS40" s="210">
        <v>9</v>
      </c>
      <c r="AT40" s="278"/>
      <c r="AU40" s="212">
        <f t="shared" si="29"/>
        <v>219</v>
      </c>
      <c r="AV40" s="278"/>
      <c r="AW40" s="214">
        <f t="shared" si="31"/>
        <v>19</v>
      </c>
      <c r="AX40" s="214">
        <f t="shared" si="32"/>
        <v>179</v>
      </c>
      <c r="AY40" s="215">
        <f t="shared" si="33"/>
        <v>21</v>
      </c>
      <c r="AZ40" s="280">
        <f t="shared" si="34"/>
        <v>5095</v>
      </c>
      <c r="BA40" s="212">
        <f t="shared" si="35"/>
        <v>1302</v>
      </c>
      <c r="BB40" s="280">
        <f t="shared" si="51"/>
        <v>1302</v>
      </c>
      <c r="BC40" s="278"/>
      <c r="BD40" s="215">
        <f t="shared" si="18"/>
        <v>4753</v>
      </c>
      <c r="BE40" s="215">
        <f t="shared" si="41"/>
        <v>4547</v>
      </c>
      <c r="BF40" s="212">
        <f>4500</f>
        <v>4500</v>
      </c>
      <c r="BG40" s="215">
        <f t="shared" si="36"/>
        <v>47</v>
      </c>
      <c r="BH40" s="215">
        <v>47</v>
      </c>
      <c r="BI40" s="215"/>
      <c r="BJ40" s="215"/>
      <c r="BK40" s="215"/>
      <c r="BL40" s="215"/>
      <c r="BM40" s="215"/>
      <c r="BN40" s="215"/>
      <c r="BO40" s="215">
        <f t="shared" si="42"/>
        <v>206</v>
      </c>
      <c r="BP40" s="215"/>
      <c r="BQ40" s="215"/>
      <c r="BR40" s="215"/>
      <c r="BS40" s="215"/>
      <c r="BT40" s="215">
        <v>154</v>
      </c>
      <c r="BU40" s="215">
        <f t="shared" si="52"/>
        <v>52</v>
      </c>
      <c r="BV40" s="215"/>
      <c r="BW40" s="215">
        <f t="shared" si="37"/>
        <v>0</v>
      </c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8"/>
      <c r="CJ40" s="215">
        <f t="shared" si="53"/>
        <v>11150</v>
      </c>
      <c r="CN40" s="282">
        <f t="shared" si="38"/>
        <v>19</v>
      </c>
      <c r="CP40" s="258">
        <f t="shared" si="13"/>
        <v>18.8</v>
      </c>
      <c r="CR40" s="282">
        <f t="shared" si="20"/>
        <v>19</v>
      </c>
      <c r="CT40" s="281">
        <f t="shared" si="39"/>
        <v>31</v>
      </c>
      <c r="CU40" s="283">
        <v>30</v>
      </c>
      <c r="CV40" s="284">
        <v>1</v>
      </c>
      <c r="CY40" s="285">
        <f t="shared" si="54"/>
        <v>42</v>
      </c>
      <c r="DB40" s="286">
        <f t="shared" si="55"/>
        <v>0</v>
      </c>
      <c r="DC40" s="281">
        <v>0.758</v>
      </c>
      <c r="DD40" s="281">
        <f>'[2]Biểu 38'!AT48</f>
        <v>10707</v>
      </c>
      <c r="DI40" s="287">
        <f t="shared" si="4"/>
        <v>6397</v>
      </c>
      <c r="DJ40" s="287">
        <f t="shared" si="5"/>
        <v>4753</v>
      </c>
      <c r="DL40" s="282">
        <f t="shared" si="6"/>
        <v>200</v>
      </c>
      <c r="DM40" s="288">
        <f t="shared" si="7"/>
        <v>0</v>
      </c>
      <c r="DN40" s="282">
        <f t="shared" si="8"/>
        <v>4599</v>
      </c>
      <c r="DO40" s="281">
        <f t="shared" si="56"/>
        <v>0.4411764705882353</v>
      </c>
      <c r="DP40" s="281">
        <f t="shared" si="57"/>
        <v>154</v>
      </c>
      <c r="DQ40" s="263" t="s">
        <v>467</v>
      </c>
      <c r="DZ40" s="289">
        <f t="shared" si="9"/>
        <v>6397</v>
      </c>
      <c r="EA40" s="289">
        <f t="shared" si="10"/>
        <v>4753</v>
      </c>
    </row>
    <row r="41" spans="1:131" s="219" customFormat="1" ht="15.75">
      <c r="A41" s="230">
        <v>5</v>
      </c>
      <c r="B41" s="205" t="s">
        <v>373</v>
      </c>
      <c r="C41" s="206">
        <f t="shared" si="48"/>
        <v>45</v>
      </c>
      <c r="D41" s="207">
        <v>37</v>
      </c>
      <c r="E41" s="207">
        <v>8</v>
      </c>
      <c r="F41" s="206">
        <f t="shared" si="24"/>
        <v>44</v>
      </c>
      <c r="G41" s="206">
        <v>36</v>
      </c>
      <c r="H41" s="206">
        <v>8</v>
      </c>
      <c r="I41" s="206">
        <v>350</v>
      </c>
      <c r="J41" s="208">
        <v>119.44</v>
      </c>
      <c r="K41" s="208">
        <f t="shared" si="40"/>
        <v>115.08409999999999</v>
      </c>
      <c r="L41" s="208">
        <v>2.9999999999999996</v>
      </c>
      <c r="M41" s="208">
        <v>25.199999999999985</v>
      </c>
      <c r="N41" s="208"/>
      <c r="O41" s="208"/>
      <c r="P41" s="208">
        <v>67.95400000000001</v>
      </c>
      <c r="Q41" s="208">
        <v>9.299999999999999</v>
      </c>
      <c r="R41" s="208">
        <v>8.730099999999997</v>
      </c>
      <c r="S41" s="208"/>
      <c r="T41" s="208"/>
      <c r="U41" s="208"/>
      <c r="V41" s="208"/>
      <c r="W41" s="208"/>
      <c r="X41" s="208">
        <v>0.8999999999999999</v>
      </c>
      <c r="Y41" s="208">
        <f t="shared" si="49"/>
        <v>177.9656</v>
      </c>
      <c r="Z41" s="208">
        <v>38.377334</v>
      </c>
      <c r="AA41" s="208">
        <f t="shared" si="25"/>
        <v>170.13430899999997</v>
      </c>
      <c r="AB41" s="208">
        <f t="shared" si="50"/>
        <v>4.47</v>
      </c>
      <c r="AC41" s="208">
        <f t="shared" si="50"/>
        <v>37.54799999999998</v>
      </c>
      <c r="AD41" s="208">
        <f t="shared" si="50"/>
        <v>0</v>
      </c>
      <c r="AE41" s="208">
        <f t="shared" si="50"/>
        <v>0</v>
      </c>
      <c r="AF41" s="208">
        <f t="shared" si="50"/>
        <v>101.25146000000001</v>
      </c>
      <c r="AG41" s="208">
        <f t="shared" si="50"/>
        <v>13.856999999999998</v>
      </c>
      <c r="AH41" s="208">
        <f t="shared" si="50"/>
        <v>13.007848999999995</v>
      </c>
      <c r="AI41" s="208">
        <f t="shared" si="50"/>
        <v>0</v>
      </c>
      <c r="AJ41" s="208">
        <f t="shared" si="50"/>
        <v>0</v>
      </c>
      <c r="AK41" s="208">
        <f t="shared" si="50"/>
        <v>0</v>
      </c>
      <c r="AL41" s="208">
        <f t="shared" si="50"/>
        <v>0</v>
      </c>
      <c r="AM41" s="208">
        <f t="shared" si="50"/>
        <v>0</v>
      </c>
      <c r="AN41" s="208">
        <f t="shared" si="50"/>
        <v>1.341</v>
      </c>
      <c r="AO41" s="208">
        <f t="shared" si="26"/>
        <v>387.81824299999994</v>
      </c>
      <c r="AP41" s="208">
        <f t="shared" si="27"/>
        <v>54.94788400499999</v>
      </c>
      <c r="AQ41" s="208">
        <f t="shared" si="28"/>
        <v>5313.19352406</v>
      </c>
      <c r="AR41" s="209">
        <v>11.15</v>
      </c>
      <c r="AS41" s="210">
        <v>8</v>
      </c>
      <c r="AT41" s="211"/>
      <c r="AU41" s="231">
        <f t="shared" si="29"/>
        <v>229</v>
      </c>
      <c r="AV41" s="211"/>
      <c r="AW41" s="214">
        <f t="shared" si="31"/>
        <v>19</v>
      </c>
      <c r="AX41" s="214">
        <f t="shared" si="32"/>
        <v>188</v>
      </c>
      <c r="AY41" s="215">
        <f t="shared" si="33"/>
        <v>22</v>
      </c>
      <c r="AZ41" s="213">
        <f t="shared" si="34"/>
        <v>5103</v>
      </c>
      <c r="BA41" s="216">
        <f t="shared" si="35"/>
        <v>1364</v>
      </c>
      <c r="BB41" s="213">
        <f t="shared" si="51"/>
        <v>1364</v>
      </c>
      <c r="BC41" s="211"/>
      <c r="BD41" s="217">
        <f t="shared" si="18"/>
        <v>4753</v>
      </c>
      <c r="BE41" s="215">
        <f t="shared" si="41"/>
        <v>4547</v>
      </c>
      <c r="BF41" s="216">
        <f>4500</f>
        <v>4500</v>
      </c>
      <c r="BG41" s="217">
        <f t="shared" si="36"/>
        <v>47</v>
      </c>
      <c r="BH41" s="217">
        <v>47</v>
      </c>
      <c r="BI41" s="217"/>
      <c r="BJ41" s="217"/>
      <c r="BK41" s="217"/>
      <c r="BL41" s="217"/>
      <c r="BM41" s="217"/>
      <c r="BN41" s="217"/>
      <c r="BO41" s="215">
        <f t="shared" si="42"/>
        <v>206</v>
      </c>
      <c r="BP41" s="217"/>
      <c r="BQ41" s="217"/>
      <c r="BR41" s="217"/>
      <c r="BS41" s="217"/>
      <c r="BT41" s="217">
        <v>154</v>
      </c>
      <c r="BU41" s="217">
        <f t="shared" si="52"/>
        <v>52</v>
      </c>
      <c r="BV41" s="217"/>
      <c r="BW41" s="217">
        <f t="shared" si="37"/>
        <v>0</v>
      </c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5">
        <f t="shared" si="53"/>
        <v>11220</v>
      </c>
      <c r="CN41" s="220">
        <f t="shared" si="38"/>
        <v>19</v>
      </c>
      <c r="CP41" s="221">
        <f t="shared" si="13"/>
        <v>18.8</v>
      </c>
      <c r="CR41" s="220">
        <f t="shared" si="20"/>
        <v>19</v>
      </c>
      <c r="CT41" s="219">
        <f t="shared" si="39"/>
        <v>31</v>
      </c>
      <c r="CU41" s="222">
        <v>30</v>
      </c>
      <c r="CV41" s="223">
        <v>1</v>
      </c>
      <c r="CY41" s="224">
        <f t="shared" si="54"/>
        <v>44</v>
      </c>
      <c r="DB41" s="225">
        <f t="shared" si="55"/>
        <v>0</v>
      </c>
      <c r="DC41" s="219">
        <v>0.758</v>
      </c>
      <c r="DD41" s="219">
        <f>'[2]Biểu 38'!AT49</f>
        <v>10661</v>
      </c>
      <c r="DI41" s="226">
        <f t="shared" si="4"/>
        <v>6467</v>
      </c>
      <c r="DJ41" s="226">
        <f t="shared" si="5"/>
        <v>4753</v>
      </c>
      <c r="DL41" s="220">
        <f t="shared" si="6"/>
        <v>210</v>
      </c>
      <c r="DM41" s="227">
        <f t="shared" si="7"/>
        <v>0</v>
      </c>
      <c r="DN41" s="220">
        <f t="shared" si="8"/>
        <v>4599</v>
      </c>
      <c r="DO41" s="219">
        <f t="shared" si="56"/>
        <v>0.4411764705882353</v>
      </c>
      <c r="DP41" s="219">
        <f t="shared" si="57"/>
        <v>154</v>
      </c>
      <c r="DQ41" s="263" t="s">
        <v>468</v>
      </c>
      <c r="DZ41" s="229">
        <f t="shared" si="9"/>
        <v>6467</v>
      </c>
      <c r="EA41" s="229">
        <f t="shared" si="10"/>
        <v>4753</v>
      </c>
    </row>
    <row r="42" spans="1:131" s="219" customFormat="1" ht="15.75">
      <c r="A42" s="230">
        <v>3</v>
      </c>
      <c r="B42" s="205" t="s">
        <v>374</v>
      </c>
      <c r="C42" s="206">
        <f>SUM(D42:E42)</f>
        <v>45</v>
      </c>
      <c r="D42" s="207">
        <v>37</v>
      </c>
      <c r="E42" s="207">
        <v>8</v>
      </c>
      <c r="F42" s="206">
        <f t="shared" si="24"/>
        <v>45</v>
      </c>
      <c r="G42" s="206">
        <v>37</v>
      </c>
      <c r="H42" s="206">
        <v>8</v>
      </c>
      <c r="I42" s="206">
        <v>350</v>
      </c>
      <c r="J42" s="208">
        <v>130.04</v>
      </c>
      <c r="K42" s="208">
        <f>SUM(L42:X42)</f>
        <v>146.75850000000003</v>
      </c>
      <c r="L42" s="208">
        <v>3.2499999999999996</v>
      </c>
      <c r="M42" s="208">
        <v>18</v>
      </c>
      <c r="N42" s="208">
        <v>6.566</v>
      </c>
      <c r="O42" s="208"/>
      <c r="P42" s="208">
        <v>78.59100000000001</v>
      </c>
      <c r="Q42" s="208">
        <v>10</v>
      </c>
      <c r="R42" s="208">
        <v>12.1515</v>
      </c>
      <c r="S42" s="208"/>
      <c r="T42" s="208"/>
      <c r="U42" s="208">
        <v>17.3</v>
      </c>
      <c r="V42" s="208"/>
      <c r="W42" s="208"/>
      <c r="X42" s="208">
        <v>0.9</v>
      </c>
      <c r="Y42" s="208">
        <f t="shared" si="49"/>
        <v>193.75959999999998</v>
      </c>
      <c r="Z42" s="208">
        <v>30.3072</v>
      </c>
      <c r="AA42" s="208">
        <f t="shared" si="25"/>
        <v>217.32916500000005</v>
      </c>
      <c r="AB42" s="208">
        <f t="shared" si="50"/>
        <v>4.842499999999999</v>
      </c>
      <c r="AC42" s="208">
        <f t="shared" si="50"/>
        <v>26.82</v>
      </c>
      <c r="AD42" s="208">
        <f t="shared" si="50"/>
        <v>9.783339999999999</v>
      </c>
      <c r="AE42" s="208">
        <f t="shared" si="50"/>
        <v>0</v>
      </c>
      <c r="AF42" s="208">
        <f t="shared" si="50"/>
        <v>117.10059000000001</v>
      </c>
      <c r="AG42" s="208">
        <f t="shared" si="50"/>
        <v>14.9</v>
      </c>
      <c r="AH42" s="208">
        <f t="shared" si="50"/>
        <v>18.105735</v>
      </c>
      <c r="AI42" s="208">
        <f t="shared" si="50"/>
        <v>0</v>
      </c>
      <c r="AJ42" s="208">
        <f t="shared" si="50"/>
        <v>0</v>
      </c>
      <c r="AK42" s="208">
        <f t="shared" si="50"/>
        <v>25.777</v>
      </c>
      <c r="AL42" s="208">
        <f t="shared" si="50"/>
        <v>0</v>
      </c>
      <c r="AM42" s="208">
        <f t="shared" si="50"/>
        <v>0</v>
      </c>
      <c r="AN42" s="208">
        <f t="shared" si="50"/>
        <v>1.341</v>
      </c>
      <c r="AO42" s="208">
        <f t="shared" si="26"/>
        <v>442.73696500000005</v>
      </c>
      <c r="AP42" s="208">
        <f t="shared" si="27"/>
        <v>58.04853322499999</v>
      </c>
      <c r="AQ42" s="208">
        <f t="shared" si="28"/>
        <v>6009.4259787</v>
      </c>
      <c r="AR42" s="209">
        <v>43.76</v>
      </c>
      <c r="AS42" s="210">
        <v>6.63</v>
      </c>
      <c r="AT42" s="211"/>
      <c r="AU42" s="231">
        <f>SUM(AV42:AY42)</f>
        <v>230</v>
      </c>
      <c r="AV42" s="211"/>
      <c r="AW42" s="214">
        <f t="shared" si="31"/>
        <v>19</v>
      </c>
      <c r="AX42" s="214">
        <f t="shared" si="32"/>
        <v>189</v>
      </c>
      <c r="AY42" s="215">
        <f t="shared" si="33"/>
        <v>22</v>
      </c>
      <c r="AZ42" s="213">
        <f>ROUND(AQ42+AR42+AS42+AT42-AU42,0)</f>
        <v>5830</v>
      </c>
      <c r="BA42" s="216">
        <f t="shared" si="35"/>
        <v>1373</v>
      </c>
      <c r="BB42" s="213">
        <f t="shared" si="51"/>
        <v>1373</v>
      </c>
      <c r="BC42" s="211"/>
      <c r="BD42" s="217">
        <f t="shared" si="18"/>
        <v>4754</v>
      </c>
      <c r="BE42" s="215">
        <f>BF42+BG42+BJ42+BK42+BL42+BM42+BN42</f>
        <v>4548</v>
      </c>
      <c r="BF42" s="216">
        <f>4500</f>
        <v>4500</v>
      </c>
      <c r="BG42" s="217">
        <f>SUM(BH42:BI42)</f>
        <v>48</v>
      </c>
      <c r="BH42" s="217">
        <v>48</v>
      </c>
      <c r="BI42" s="217"/>
      <c r="BJ42" s="217"/>
      <c r="BK42" s="217"/>
      <c r="BL42" s="217"/>
      <c r="BM42" s="217"/>
      <c r="BN42" s="217"/>
      <c r="BO42" s="215">
        <f t="shared" si="42"/>
        <v>206</v>
      </c>
      <c r="BP42" s="217"/>
      <c r="BQ42" s="217"/>
      <c r="BR42" s="217"/>
      <c r="BS42" s="217"/>
      <c r="BT42" s="217">
        <v>154</v>
      </c>
      <c r="BU42" s="217">
        <f t="shared" si="52"/>
        <v>52</v>
      </c>
      <c r="BV42" s="217"/>
      <c r="BW42" s="217">
        <f>SUM(BX42:CG42)</f>
        <v>0</v>
      </c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5">
        <f t="shared" si="53"/>
        <v>11957</v>
      </c>
      <c r="CN42" s="220">
        <f t="shared" si="38"/>
        <v>19</v>
      </c>
      <c r="CP42" s="221">
        <f t="shared" si="13"/>
        <v>19.200000000000003</v>
      </c>
      <c r="CR42" s="220">
        <f t="shared" si="20"/>
        <v>19</v>
      </c>
      <c r="CT42" s="219">
        <f>CU42+CV42-CW42</f>
        <v>30.5</v>
      </c>
      <c r="CU42" s="222">
        <v>30</v>
      </c>
      <c r="CV42" s="223">
        <v>0.5</v>
      </c>
      <c r="CY42" s="224">
        <f t="shared" si="54"/>
        <v>22.5</v>
      </c>
      <c r="DB42" s="225">
        <f t="shared" si="55"/>
        <v>0</v>
      </c>
      <c r="DC42" s="219">
        <v>0.758</v>
      </c>
      <c r="DD42" s="219">
        <f>'[2]Biểu 38'!AT50</f>
        <v>11517</v>
      </c>
      <c r="DI42" s="226">
        <f t="shared" si="4"/>
        <v>7203</v>
      </c>
      <c r="DJ42" s="226">
        <f t="shared" si="5"/>
        <v>4754</v>
      </c>
      <c r="DL42" s="220">
        <f t="shared" si="6"/>
        <v>211</v>
      </c>
      <c r="DM42" s="227">
        <f t="shared" si="7"/>
        <v>0</v>
      </c>
      <c r="DN42" s="220">
        <f t="shared" si="8"/>
        <v>4600</v>
      </c>
      <c r="DO42" s="219">
        <f t="shared" si="56"/>
        <v>0.4411764705882353</v>
      </c>
      <c r="DP42" s="219">
        <f t="shared" si="57"/>
        <v>154</v>
      </c>
      <c r="DQ42" s="290" t="s">
        <v>469</v>
      </c>
      <c r="DZ42" s="229">
        <f t="shared" si="9"/>
        <v>7203</v>
      </c>
      <c r="EA42" s="229">
        <f t="shared" si="10"/>
        <v>4754</v>
      </c>
    </row>
    <row r="43" spans="1:131" s="219" customFormat="1" ht="15.75">
      <c r="A43" s="230">
        <v>6</v>
      </c>
      <c r="B43" s="205" t="s">
        <v>375</v>
      </c>
      <c r="C43" s="206">
        <f t="shared" si="48"/>
        <v>43</v>
      </c>
      <c r="D43" s="207">
        <v>36</v>
      </c>
      <c r="E43" s="207">
        <v>7</v>
      </c>
      <c r="F43" s="206">
        <f t="shared" si="24"/>
        <v>39</v>
      </c>
      <c r="G43" s="206">
        <v>34</v>
      </c>
      <c r="H43" s="206">
        <v>5</v>
      </c>
      <c r="I43" s="206">
        <v>350</v>
      </c>
      <c r="J43" s="208">
        <v>107.3</v>
      </c>
      <c r="K43" s="208">
        <f t="shared" si="40"/>
        <v>95.17111000000001</v>
      </c>
      <c r="L43" s="208">
        <v>2.1999999999999997</v>
      </c>
      <c r="M43" s="208">
        <v>16.2</v>
      </c>
      <c r="N43" s="208">
        <v>2.0999999999999996</v>
      </c>
      <c r="O43" s="208">
        <v>0.2</v>
      </c>
      <c r="P43" s="208">
        <v>58.29796</v>
      </c>
      <c r="Q43" s="208">
        <v>7.999999999999997</v>
      </c>
      <c r="R43" s="208">
        <v>6.61195</v>
      </c>
      <c r="S43" s="208"/>
      <c r="T43" s="208">
        <v>0.9612</v>
      </c>
      <c r="U43" s="208"/>
      <c r="V43" s="208"/>
      <c r="W43" s="208"/>
      <c r="X43" s="208">
        <v>0.6</v>
      </c>
      <c r="Y43" s="208">
        <f t="shared" si="49"/>
        <v>159.87699999999998</v>
      </c>
      <c r="Z43" s="208">
        <v>21.916414</v>
      </c>
      <c r="AA43" s="208">
        <f t="shared" si="25"/>
        <v>140.9109539</v>
      </c>
      <c r="AB43" s="208">
        <f t="shared" si="50"/>
        <v>3.2779999999999996</v>
      </c>
      <c r="AC43" s="208">
        <f t="shared" si="50"/>
        <v>24.137999999999998</v>
      </c>
      <c r="AD43" s="208">
        <f t="shared" si="50"/>
        <v>3.1289999999999996</v>
      </c>
      <c r="AE43" s="208">
        <f t="shared" si="50"/>
        <v>0.298</v>
      </c>
      <c r="AF43" s="208">
        <f t="shared" si="50"/>
        <v>86.86396040000001</v>
      </c>
      <c r="AG43" s="208">
        <f t="shared" si="50"/>
        <v>11.919999999999996</v>
      </c>
      <c r="AH43" s="208">
        <f t="shared" si="50"/>
        <v>9.851805500000001</v>
      </c>
      <c r="AI43" s="208">
        <f t="shared" si="50"/>
        <v>0</v>
      </c>
      <c r="AJ43" s="208">
        <f t="shared" si="50"/>
        <v>1.432188</v>
      </c>
      <c r="AK43" s="208">
        <f t="shared" si="50"/>
        <v>0</v>
      </c>
      <c r="AL43" s="208">
        <f t="shared" si="50"/>
        <v>0</v>
      </c>
      <c r="AM43" s="208">
        <f t="shared" si="50"/>
        <v>0</v>
      </c>
      <c r="AN43" s="208">
        <f t="shared" si="50"/>
        <v>0.894</v>
      </c>
      <c r="AO43" s="208">
        <f t="shared" si="26"/>
        <v>323.59836789999997</v>
      </c>
      <c r="AP43" s="208">
        <f t="shared" si="27"/>
        <v>46.1435207625</v>
      </c>
      <c r="AQ43" s="208">
        <f t="shared" si="28"/>
        <v>4436.902663949999</v>
      </c>
      <c r="AR43" s="209">
        <v>45.14</v>
      </c>
      <c r="AS43" s="210">
        <v>31.36</v>
      </c>
      <c r="AT43" s="211"/>
      <c r="AU43" s="231">
        <f t="shared" si="29"/>
        <v>204</v>
      </c>
      <c r="AV43" s="211"/>
      <c r="AW43" s="214">
        <f t="shared" si="31"/>
        <v>19</v>
      </c>
      <c r="AX43" s="214">
        <f t="shared" si="32"/>
        <v>166</v>
      </c>
      <c r="AY43" s="215">
        <f t="shared" si="33"/>
        <v>19</v>
      </c>
      <c r="AZ43" s="213">
        <f t="shared" si="34"/>
        <v>4309</v>
      </c>
      <c r="BA43" s="216">
        <f t="shared" si="35"/>
        <v>1209</v>
      </c>
      <c r="BB43" s="213">
        <f t="shared" si="51"/>
        <v>1209</v>
      </c>
      <c r="BC43" s="211"/>
      <c r="BD43" s="217">
        <f t="shared" si="18"/>
        <v>4754</v>
      </c>
      <c r="BE43" s="215">
        <f t="shared" si="41"/>
        <v>4548</v>
      </c>
      <c r="BF43" s="216">
        <f>4500</f>
        <v>4500</v>
      </c>
      <c r="BG43" s="217">
        <f t="shared" si="36"/>
        <v>48</v>
      </c>
      <c r="BH43" s="217">
        <v>48</v>
      </c>
      <c r="BI43" s="217"/>
      <c r="BJ43" s="217"/>
      <c r="BK43" s="217"/>
      <c r="BL43" s="217"/>
      <c r="BM43" s="217"/>
      <c r="BN43" s="217"/>
      <c r="BO43" s="215">
        <f t="shared" si="42"/>
        <v>206</v>
      </c>
      <c r="BP43" s="217"/>
      <c r="BQ43" s="217"/>
      <c r="BR43" s="217"/>
      <c r="BS43" s="217"/>
      <c r="BT43" s="217">
        <v>154</v>
      </c>
      <c r="BU43" s="217">
        <f t="shared" si="52"/>
        <v>52</v>
      </c>
      <c r="BV43" s="217"/>
      <c r="BW43" s="217">
        <f t="shared" si="37"/>
        <v>0</v>
      </c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5">
        <f t="shared" si="53"/>
        <v>10272</v>
      </c>
      <c r="CN43" s="220">
        <f t="shared" si="38"/>
        <v>19</v>
      </c>
      <c r="CP43" s="221">
        <f t="shared" si="13"/>
        <v>19.200000000000003</v>
      </c>
      <c r="CR43" s="220">
        <f t="shared" si="20"/>
        <v>19</v>
      </c>
      <c r="CT43" s="219">
        <f t="shared" si="39"/>
        <v>31</v>
      </c>
      <c r="CU43" s="222">
        <v>30</v>
      </c>
      <c r="CV43" s="223">
        <v>1</v>
      </c>
      <c r="CY43" s="224">
        <f t="shared" si="54"/>
        <v>39</v>
      </c>
      <c r="DB43" s="225">
        <f t="shared" si="55"/>
        <v>0</v>
      </c>
      <c r="DC43" s="219">
        <v>0.758</v>
      </c>
      <c r="DD43" s="219">
        <f>'[2]Biểu 38'!AT51</f>
        <v>9955</v>
      </c>
      <c r="DI43" s="226">
        <f t="shared" si="4"/>
        <v>5518</v>
      </c>
      <c r="DJ43" s="226">
        <f t="shared" si="5"/>
        <v>4754</v>
      </c>
      <c r="DL43" s="220">
        <f t="shared" si="6"/>
        <v>185</v>
      </c>
      <c r="DM43" s="227">
        <f t="shared" si="7"/>
        <v>0</v>
      </c>
      <c r="DN43" s="220">
        <f t="shared" si="8"/>
        <v>4600</v>
      </c>
      <c r="DO43" s="219">
        <f t="shared" si="56"/>
        <v>0.4411764705882353</v>
      </c>
      <c r="DP43" s="219">
        <f t="shared" si="57"/>
        <v>154</v>
      </c>
      <c r="DQ43" s="263" t="s">
        <v>470</v>
      </c>
      <c r="DZ43" s="229">
        <f t="shared" si="9"/>
        <v>5518</v>
      </c>
      <c r="EA43" s="229">
        <f t="shared" si="10"/>
        <v>4754</v>
      </c>
    </row>
    <row r="44" spans="1:131" s="219" customFormat="1" ht="15.75">
      <c r="A44" s="230">
        <v>7</v>
      </c>
      <c r="B44" s="205" t="s">
        <v>376</v>
      </c>
      <c r="C44" s="206">
        <f t="shared" si="48"/>
        <v>44</v>
      </c>
      <c r="D44" s="207">
        <v>36</v>
      </c>
      <c r="E44" s="207">
        <v>8</v>
      </c>
      <c r="F44" s="206">
        <f t="shared" si="24"/>
        <v>41</v>
      </c>
      <c r="G44" s="206">
        <v>33</v>
      </c>
      <c r="H44" s="206">
        <v>8</v>
      </c>
      <c r="I44" s="206">
        <v>350</v>
      </c>
      <c r="J44" s="208">
        <v>101.37</v>
      </c>
      <c r="K44" s="208">
        <f t="shared" si="40"/>
        <v>209.77899999999997</v>
      </c>
      <c r="L44" s="208">
        <v>3.4</v>
      </c>
      <c r="M44" s="208">
        <v>23.8</v>
      </c>
      <c r="N44" s="208"/>
      <c r="O44" s="208"/>
      <c r="P44" s="208">
        <v>65.14899999999999</v>
      </c>
      <c r="Q44" s="208">
        <v>10</v>
      </c>
      <c r="R44" s="208">
        <v>1.91</v>
      </c>
      <c r="S44" s="208">
        <v>104.92</v>
      </c>
      <c r="T44" s="208"/>
      <c r="U44" s="208"/>
      <c r="V44" s="208"/>
      <c r="W44" s="208"/>
      <c r="X44" s="208">
        <v>0.6</v>
      </c>
      <c r="Y44" s="208">
        <f t="shared" si="49"/>
        <v>151.0413</v>
      </c>
      <c r="Z44" s="208">
        <v>52.9844</v>
      </c>
      <c r="AA44" s="208">
        <f t="shared" si="25"/>
        <v>311.67671</v>
      </c>
      <c r="AB44" s="208">
        <f t="shared" si="50"/>
        <v>5.066</v>
      </c>
      <c r="AC44" s="208">
        <f t="shared" si="50"/>
        <v>35.462</v>
      </c>
      <c r="AD44" s="208">
        <f t="shared" si="50"/>
        <v>0</v>
      </c>
      <c r="AE44" s="208">
        <f t="shared" si="50"/>
        <v>0</v>
      </c>
      <c r="AF44" s="208">
        <f t="shared" si="50"/>
        <v>97.07200999999998</v>
      </c>
      <c r="AG44" s="208">
        <f t="shared" si="50"/>
        <v>14.9</v>
      </c>
      <c r="AH44" s="208">
        <f t="shared" si="50"/>
        <v>2.8459</v>
      </c>
      <c r="AI44" s="208">
        <f t="shared" si="50"/>
        <v>156.3308</v>
      </c>
      <c r="AJ44" s="208">
        <f t="shared" si="50"/>
        <v>0</v>
      </c>
      <c r="AK44" s="208">
        <f t="shared" si="50"/>
        <v>0</v>
      </c>
      <c r="AL44" s="208">
        <f t="shared" si="50"/>
        <v>0</v>
      </c>
      <c r="AM44" s="208">
        <f t="shared" si="50"/>
        <v>0</v>
      </c>
      <c r="AN44" s="208">
        <f t="shared" si="50"/>
        <v>0.894</v>
      </c>
      <c r="AO44" s="208">
        <f t="shared" si="26"/>
        <v>516.59641</v>
      </c>
      <c r="AP44" s="208">
        <f t="shared" si="27"/>
        <v>49.805336</v>
      </c>
      <c r="AQ44" s="208">
        <f t="shared" si="28"/>
        <v>6796.820952</v>
      </c>
      <c r="AR44" s="209">
        <v>220.92</v>
      </c>
      <c r="AS44" s="210">
        <v>7.44</v>
      </c>
      <c r="AT44" s="213"/>
      <c r="AU44" s="231">
        <f t="shared" si="29"/>
        <v>216</v>
      </c>
      <c r="AV44" s="211"/>
      <c r="AW44" s="214">
        <f t="shared" si="31"/>
        <v>21</v>
      </c>
      <c r="AX44" s="214">
        <f t="shared" si="32"/>
        <v>175</v>
      </c>
      <c r="AY44" s="215">
        <f t="shared" si="33"/>
        <v>20</v>
      </c>
      <c r="AZ44" s="213">
        <f t="shared" si="34"/>
        <v>6809</v>
      </c>
      <c r="BA44" s="216">
        <f t="shared" si="35"/>
        <v>1271</v>
      </c>
      <c r="BB44" s="213">
        <f t="shared" si="51"/>
        <v>1271</v>
      </c>
      <c r="BC44" s="211"/>
      <c r="BD44" s="217">
        <f t="shared" si="18"/>
        <v>4779</v>
      </c>
      <c r="BE44" s="215">
        <f t="shared" si="41"/>
        <v>4573</v>
      </c>
      <c r="BF44" s="216">
        <f>4500</f>
        <v>4500</v>
      </c>
      <c r="BG44" s="217">
        <f t="shared" si="36"/>
        <v>52</v>
      </c>
      <c r="BH44" s="217">
        <v>52</v>
      </c>
      <c r="BI44" s="217"/>
      <c r="BJ44" s="217"/>
      <c r="BK44" s="217">
        <v>21</v>
      </c>
      <c r="BL44" s="217"/>
      <c r="BM44" s="217"/>
      <c r="BN44" s="217"/>
      <c r="BO44" s="215">
        <f t="shared" si="42"/>
        <v>206</v>
      </c>
      <c r="BP44" s="217"/>
      <c r="BQ44" s="217"/>
      <c r="BR44" s="217"/>
      <c r="BS44" s="217"/>
      <c r="BT44" s="217">
        <v>154</v>
      </c>
      <c r="BU44" s="217">
        <f t="shared" si="52"/>
        <v>52</v>
      </c>
      <c r="BV44" s="217"/>
      <c r="BW44" s="217">
        <f t="shared" si="37"/>
        <v>0</v>
      </c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5">
        <f t="shared" si="53"/>
        <v>12859</v>
      </c>
      <c r="CN44" s="220">
        <f t="shared" si="38"/>
        <v>21</v>
      </c>
      <c r="CP44" s="221">
        <f t="shared" si="13"/>
        <v>20.8</v>
      </c>
      <c r="CR44" s="220">
        <f t="shared" si="20"/>
        <v>21</v>
      </c>
      <c r="CT44" s="219">
        <f t="shared" si="39"/>
        <v>31</v>
      </c>
      <c r="CU44" s="222">
        <v>30</v>
      </c>
      <c r="CV44" s="223">
        <v>1</v>
      </c>
      <c r="CY44" s="224">
        <f t="shared" si="54"/>
        <v>41</v>
      </c>
      <c r="DB44" s="225">
        <f t="shared" si="55"/>
        <v>0</v>
      </c>
      <c r="DC44" s="219">
        <v>0.758</v>
      </c>
      <c r="DD44" s="219">
        <f>'[2]Biểu 38'!AT52</f>
        <v>12082</v>
      </c>
      <c r="DI44" s="226">
        <f t="shared" si="4"/>
        <v>8080</v>
      </c>
      <c r="DJ44" s="226">
        <f t="shared" si="5"/>
        <v>4779</v>
      </c>
      <c r="DL44" s="220">
        <f t="shared" si="6"/>
        <v>195</v>
      </c>
      <c r="DM44" s="227">
        <f t="shared" si="7"/>
        <v>0</v>
      </c>
      <c r="DN44" s="220">
        <f t="shared" si="8"/>
        <v>4625</v>
      </c>
      <c r="DO44" s="219">
        <f t="shared" si="56"/>
        <v>0.4411764705882353</v>
      </c>
      <c r="DP44" s="219">
        <f t="shared" si="57"/>
        <v>154</v>
      </c>
      <c r="DQ44" s="263" t="s">
        <v>471</v>
      </c>
      <c r="DZ44" s="229">
        <f t="shared" si="9"/>
        <v>8080</v>
      </c>
      <c r="EA44" s="229">
        <f t="shared" si="10"/>
        <v>4779</v>
      </c>
    </row>
    <row r="45" spans="1:131" s="219" customFormat="1" ht="15.75">
      <c r="A45" s="230">
        <v>8</v>
      </c>
      <c r="B45" s="205" t="s">
        <v>377</v>
      </c>
      <c r="C45" s="206">
        <f t="shared" si="48"/>
        <v>38</v>
      </c>
      <c r="D45" s="207">
        <v>34</v>
      </c>
      <c r="E45" s="207">
        <v>4</v>
      </c>
      <c r="F45" s="206">
        <f t="shared" si="24"/>
        <v>24</v>
      </c>
      <c r="G45" s="206">
        <v>20</v>
      </c>
      <c r="H45" s="206">
        <v>4</v>
      </c>
      <c r="I45" s="206">
        <v>350</v>
      </c>
      <c r="J45" s="208">
        <v>54.01</v>
      </c>
      <c r="K45" s="208">
        <f t="shared" si="40"/>
        <v>98.8497</v>
      </c>
      <c r="L45" s="208">
        <v>2.05</v>
      </c>
      <c r="M45" s="208">
        <v>13.999999999999995</v>
      </c>
      <c r="N45" s="208">
        <v>23.093</v>
      </c>
      <c r="O45" s="208"/>
      <c r="P45" s="208">
        <v>31.569999999999993</v>
      </c>
      <c r="Q45" s="208">
        <v>7.199999999999999</v>
      </c>
      <c r="R45" s="208">
        <v>1.7106999999999999</v>
      </c>
      <c r="S45" s="208">
        <v>15.725999999999999</v>
      </c>
      <c r="T45" s="208"/>
      <c r="U45" s="208">
        <v>3.2</v>
      </c>
      <c r="V45" s="208"/>
      <c r="W45" s="208"/>
      <c r="X45" s="208">
        <v>0.3</v>
      </c>
      <c r="Y45" s="208">
        <f t="shared" si="49"/>
        <v>80.47489999999999</v>
      </c>
      <c r="Z45" s="208">
        <v>17.582</v>
      </c>
      <c r="AA45" s="208">
        <f t="shared" si="25"/>
        <v>146.83905299999995</v>
      </c>
      <c r="AB45" s="208">
        <f t="shared" si="50"/>
        <v>3.0544999999999995</v>
      </c>
      <c r="AC45" s="208">
        <f t="shared" si="50"/>
        <v>20.859999999999992</v>
      </c>
      <c r="AD45" s="208">
        <f t="shared" si="50"/>
        <v>34.40857</v>
      </c>
      <c r="AE45" s="208">
        <f t="shared" si="50"/>
        <v>0</v>
      </c>
      <c r="AF45" s="208">
        <f t="shared" si="50"/>
        <v>47.03929999999999</v>
      </c>
      <c r="AG45" s="208">
        <f t="shared" si="50"/>
        <v>10.728</v>
      </c>
      <c r="AH45" s="208">
        <f t="shared" si="50"/>
        <v>2.548943</v>
      </c>
      <c r="AI45" s="208">
        <f t="shared" si="50"/>
        <v>23.431739999999998</v>
      </c>
      <c r="AJ45" s="208">
        <f t="shared" si="50"/>
        <v>0</v>
      </c>
      <c r="AK45" s="208">
        <f t="shared" si="50"/>
        <v>4.768</v>
      </c>
      <c r="AL45" s="208">
        <f t="shared" si="50"/>
        <v>0</v>
      </c>
      <c r="AM45" s="208">
        <f t="shared" si="50"/>
        <v>0</v>
      </c>
      <c r="AN45" s="208">
        <f t="shared" si="50"/>
        <v>0.447</v>
      </c>
      <c r="AO45" s="208">
        <f t="shared" si="26"/>
        <v>245.34295299999994</v>
      </c>
      <c r="AP45" s="208">
        <f t="shared" si="27"/>
        <v>24.360180604999993</v>
      </c>
      <c r="AQ45" s="208">
        <f t="shared" si="28"/>
        <v>3236.4376032599994</v>
      </c>
      <c r="AR45" s="209">
        <v>35.94</v>
      </c>
      <c r="AS45" s="210">
        <v>0.82</v>
      </c>
      <c r="AT45" s="213"/>
      <c r="AU45" s="231">
        <f t="shared" si="29"/>
        <v>133</v>
      </c>
      <c r="AV45" s="211"/>
      <c r="AW45" s="214">
        <f t="shared" si="31"/>
        <v>19</v>
      </c>
      <c r="AX45" s="214">
        <f t="shared" si="32"/>
        <v>102</v>
      </c>
      <c r="AY45" s="215">
        <f t="shared" si="33"/>
        <v>12</v>
      </c>
      <c r="AZ45" s="213">
        <f t="shared" si="34"/>
        <v>3140</v>
      </c>
      <c r="BA45" s="216">
        <f t="shared" si="35"/>
        <v>744</v>
      </c>
      <c r="BB45" s="213">
        <f t="shared" si="51"/>
        <v>744</v>
      </c>
      <c r="BC45" s="211"/>
      <c r="BD45" s="217">
        <f t="shared" si="18"/>
        <v>4753</v>
      </c>
      <c r="BE45" s="215">
        <f t="shared" si="41"/>
        <v>4547</v>
      </c>
      <c r="BF45" s="216">
        <f>4500</f>
        <v>4500</v>
      </c>
      <c r="BG45" s="217">
        <f t="shared" si="36"/>
        <v>47</v>
      </c>
      <c r="BH45" s="217">
        <v>47</v>
      </c>
      <c r="BI45" s="217"/>
      <c r="BJ45" s="217"/>
      <c r="BK45" s="217"/>
      <c r="BL45" s="217"/>
      <c r="BM45" s="217"/>
      <c r="BN45" s="217"/>
      <c r="BO45" s="215">
        <f t="shared" si="42"/>
        <v>206</v>
      </c>
      <c r="BP45" s="217"/>
      <c r="BQ45" s="217"/>
      <c r="BR45" s="217"/>
      <c r="BS45" s="217"/>
      <c r="BT45" s="217">
        <v>154</v>
      </c>
      <c r="BU45" s="217">
        <f t="shared" si="52"/>
        <v>52</v>
      </c>
      <c r="BV45" s="217"/>
      <c r="BW45" s="217">
        <f t="shared" si="37"/>
        <v>0</v>
      </c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5">
        <f t="shared" si="53"/>
        <v>8637</v>
      </c>
      <c r="CN45" s="220">
        <f t="shared" si="38"/>
        <v>19</v>
      </c>
      <c r="CP45" s="221">
        <f t="shared" si="13"/>
        <v>18.8</v>
      </c>
      <c r="CR45" s="220">
        <f t="shared" si="20"/>
        <v>19</v>
      </c>
      <c r="CT45" s="219">
        <f t="shared" si="39"/>
        <v>31</v>
      </c>
      <c r="CU45" s="222">
        <v>30</v>
      </c>
      <c r="CV45" s="223">
        <v>1</v>
      </c>
      <c r="CY45" s="224">
        <f t="shared" si="54"/>
        <v>24</v>
      </c>
      <c r="DB45" s="225">
        <f t="shared" si="55"/>
        <v>0</v>
      </c>
      <c r="DC45" s="219">
        <v>0.758</v>
      </c>
      <c r="DD45" s="219">
        <f>'[2]Biểu 38'!AT53</f>
        <v>8382</v>
      </c>
      <c r="DI45" s="226">
        <f t="shared" si="4"/>
        <v>3884</v>
      </c>
      <c r="DJ45" s="226">
        <f t="shared" si="5"/>
        <v>4753</v>
      </c>
      <c r="DL45" s="220">
        <f t="shared" si="6"/>
        <v>114</v>
      </c>
      <c r="DM45" s="227">
        <f t="shared" si="7"/>
        <v>0</v>
      </c>
      <c r="DN45" s="220">
        <f t="shared" si="8"/>
        <v>4599</v>
      </c>
      <c r="DO45" s="219">
        <f t="shared" si="56"/>
        <v>0.4411764705882353</v>
      </c>
      <c r="DP45" s="219">
        <f t="shared" si="57"/>
        <v>154</v>
      </c>
      <c r="DQ45" s="263" t="s">
        <v>472</v>
      </c>
      <c r="DZ45" s="229">
        <f t="shared" si="9"/>
        <v>3884</v>
      </c>
      <c r="EA45" s="229">
        <f t="shared" si="10"/>
        <v>4753</v>
      </c>
    </row>
    <row r="46" spans="1:131" s="256" customFormat="1" ht="15.75">
      <c r="A46" s="244" t="s">
        <v>378</v>
      </c>
      <c r="B46" s="245" t="s">
        <v>379</v>
      </c>
      <c r="C46" s="246">
        <f t="shared" si="48"/>
        <v>71</v>
      </c>
      <c r="D46" s="247">
        <v>57</v>
      </c>
      <c r="E46" s="247">
        <v>14</v>
      </c>
      <c r="F46" s="246">
        <f t="shared" si="24"/>
        <v>70</v>
      </c>
      <c r="G46" s="246">
        <v>56</v>
      </c>
      <c r="H46" s="246">
        <v>14</v>
      </c>
      <c r="I46" s="246">
        <v>600</v>
      </c>
      <c r="J46" s="248">
        <v>220.5</v>
      </c>
      <c r="K46" s="248">
        <f t="shared" si="40"/>
        <v>226.43971999999994</v>
      </c>
      <c r="L46" s="248">
        <v>4.3</v>
      </c>
      <c r="M46" s="248">
        <v>28</v>
      </c>
      <c r="N46" s="248"/>
      <c r="O46" s="248">
        <v>0.2</v>
      </c>
      <c r="P46" s="248">
        <v>143.63831999999996</v>
      </c>
      <c r="Q46" s="248">
        <v>14.2</v>
      </c>
      <c r="R46" s="248">
        <v>33.128999999999984</v>
      </c>
      <c r="S46" s="248"/>
      <c r="T46" s="248">
        <v>0.9224</v>
      </c>
      <c r="U46" s="248"/>
      <c r="V46" s="248"/>
      <c r="W46" s="248">
        <v>0.85</v>
      </c>
      <c r="X46" s="248">
        <v>1.2</v>
      </c>
      <c r="Y46" s="248">
        <f t="shared" si="49"/>
        <v>328.545</v>
      </c>
      <c r="Z46" s="248">
        <v>59.49431</v>
      </c>
      <c r="AA46" s="248">
        <f t="shared" si="25"/>
        <v>335.6071828</v>
      </c>
      <c r="AB46" s="248">
        <f t="shared" si="50"/>
        <v>6.407</v>
      </c>
      <c r="AC46" s="248">
        <f t="shared" si="50"/>
        <v>41.72</v>
      </c>
      <c r="AD46" s="248">
        <f t="shared" si="50"/>
        <v>0</v>
      </c>
      <c r="AE46" s="248">
        <f t="shared" si="50"/>
        <v>0.298</v>
      </c>
      <c r="AF46" s="248">
        <f t="shared" si="50"/>
        <v>214.02109679999995</v>
      </c>
      <c r="AG46" s="248">
        <f t="shared" si="50"/>
        <v>21.157999999999998</v>
      </c>
      <c r="AH46" s="248">
        <f t="shared" si="50"/>
        <v>49.362209999999976</v>
      </c>
      <c r="AI46" s="248">
        <f t="shared" si="50"/>
        <v>0</v>
      </c>
      <c r="AJ46" s="248">
        <f t="shared" si="50"/>
        <v>1.374376</v>
      </c>
      <c r="AK46" s="248">
        <f t="shared" si="50"/>
        <v>0</v>
      </c>
      <c r="AL46" s="248">
        <f t="shared" si="50"/>
        <v>0</v>
      </c>
      <c r="AM46" s="248">
        <f t="shared" si="50"/>
        <v>1.2665</v>
      </c>
      <c r="AN46" s="248">
        <f t="shared" si="50"/>
        <v>1.788</v>
      </c>
      <c r="AO46" s="248">
        <f t="shared" si="26"/>
        <v>725.4344928</v>
      </c>
      <c r="AP46" s="208">
        <f t="shared" si="27"/>
        <v>104.61798055999998</v>
      </c>
      <c r="AQ46" s="248">
        <f t="shared" si="28"/>
        <v>9960.62968032</v>
      </c>
      <c r="AR46" s="249">
        <v>113.01</v>
      </c>
      <c r="AS46" s="250">
        <v>15.39</v>
      </c>
      <c r="AT46" s="245"/>
      <c r="AU46" s="251">
        <f t="shared" si="29"/>
        <v>374</v>
      </c>
      <c r="AV46" s="251">
        <v>38</v>
      </c>
      <c r="AW46" s="252">
        <f t="shared" si="31"/>
        <v>33</v>
      </c>
      <c r="AX46" s="214">
        <f t="shared" si="32"/>
        <v>270</v>
      </c>
      <c r="AY46" s="215">
        <f>ROUND(AX46*11.65%,0)+2</f>
        <v>33</v>
      </c>
      <c r="AZ46" s="253">
        <f t="shared" si="34"/>
        <v>9715</v>
      </c>
      <c r="BA46" s="251">
        <f t="shared" si="35"/>
        <v>1960</v>
      </c>
      <c r="BB46" s="253">
        <f t="shared" si="51"/>
        <v>1960</v>
      </c>
      <c r="BC46" s="245"/>
      <c r="BD46" s="254">
        <f t="shared" si="18"/>
        <v>8026</v>
      </c>
      <c r="BE46" s="254">
        <f t="shared" si="41"/>
        <v>7674</v>
      </c>
      <c r="BF46" s="251">
        <v>7452</v>
      </c>
      <c r="BG46" s="255">
        <f t="shared" si="36"/>
        <v>83</v>
      </c>
      <c r="BH46" s="255">
        <v>83</v>
      </c>
      <c r="BI46" s="255"/>
      <c r="BJ46" s="255"/>
      <c r="BK46" s="255">
        <v>139</v>
      </c>
      <c r="BL46" s="255"/>
      <c r="BM46" s="255"/>
      <c r="BN46" s="255"/>
      <c r="BO46" s="254">
        <f t="shared" si="42"/>
        <v>352</v>
      </c>
      <c r="BP46" s="255"/>
      <c r="BQ46" s="255"/>
      <c r="BR46" s="255"/>
      <c r="BS46" s="255"/>
      <c r="BT46" s="255">
        <v>268</v>
      </c>
      <c r="BU46" s="254">
        <f>ROUND(I46*0.1475,0)-5</f>
        <v>84</v>
      </c>
      <c r="BV46" s="254"/>
      <c r="BW46" s="255">
        <f t="shared" si="37"/>
        <v>0</v>
      </c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4">
        <f t="shared" si="53"/>
        <v>19701</v>
      </c>
      <c r="CM46" s="257">
        <v>8336</v>
      </c>
      <c r="CN46" s="258">
        <f t="shared" si="38"/>
        <v>33</v>
      </c>
      <c r="CO46" s="257"/>
      <c r="CP46" s="221">
        <f t="shared" si="13"/>
        <v>33.2</v>
      </c>
      <c r="CQ46" s="221"/>
      <c r="CR46" s="221">
        <f t="shared" si="20"/>
        <v>33</v>
      </c>
      <c r="CT46" s="259">
        <f t="shared" si="39"/>
        <v>28</v>
      </c>
      <c r="CU46" s="260">
        <v>30</v>
      </c>
      <c r="CW46" s="259">
        <v>2</v>
      </c>
      <c r="CX46" s="261">
        <f>F46*CW46</f>
        <v>140</v>
      </c>
      <c r="DB46" s="262">
        <f t="shared" si="55"/>
        <v>0</v>
      </c>
      <c r="DC46" s="259">
        <v>0.758</v>
      </c>
      <c r="DD46" s="256">
        <f>'[2]Biểu 38'!AT54</f>
        <v>18849</v>
      </c>
      <c r="DI46" s="226">
        <f t="shared" si="4"/>
        <v>11675</v>
      </c>
      <c r="DJ46" s="226">
        <f t="shared" si="5"/>
        <v>8026</v>
      </c>
      <c r="DL46" s="220">
        <f t="shared" si="6"/>
        <v>303</v>
      </c>
      <c r="DM46" s="227">
        <f t="shared" si="7"/>
        <v>0</v>
      </c>
      <c r="DN46" s="220">
        <f t="shared" si="8"/>
        <v>7758</v>
      </c>
      <c r="DO46" s="219">
        <f t="shared" si="56"/>
        <v>0.4411764705882353</v>
      </c>
      <c r="DP46" s="219">
        <f t="shared" si="57"/>
        <v>265</v>
      </c>
      <c r="DZ46" s="229">
        <f t="shared" si="9"/>
        <v>11675</v>
      </c>
      <c r="EA46" s="229">
        <f t="shared" si="10"/>
        <v>8026</v>
      </c>
    </row>
    <row r="47" spans="1:131" s="256" customFormat="1" ht="16.5">
      <c r="A47" s="244" t="s">
        <v>380</v>
      </c>
      <c r="B47" s="245" t="s">
        <v>381</v>
      </c>
      <c r="C47" s="246">
        <f t="shared" si="48"/>
        <v>34</v>
      </c>
      <c r="D47" s="247">
        <v>32</v>
      </c>
      <c r="E47" s="247">
        <v>2</v>
      </c>
      <c r="F47" s="246">
        <f t="shared" si="24"/>
        <v>32</v>
      </c>
      <c r="G47" s="246">
        <v>30</v>
      </c>
      <c r="H47" s="246">
        <v>2</v>
      </c>
      <c r="I47" s="246"/>
      <c r="J47" s="291">
        <v>116.69000000000001</v>
      </c>
      <c r="K47" s="248">
        <f t="shared" si="40"/>
        <v>77.613164</v>
      </c>
      <c r="L47" s="292">
        <v>4.8</v>
      </c>
      <c r="M47" s="292">
        <v>15.5</v>
      </c>
      <c r="N47" s="248"/>
      <c r="O47" s="248"/>
      <c r="P47" s="292">
        <v>39.678160000000005</v>
      </c>
      <c r="Q47" s="248">
        <v>1.5000000000000002</v>
      </c>
      <c r="R47" s="293">
        <v>15.537403999999999</v>
      </c>
      <c r="S47" s="248"/>
      <c r="T47" s="293">
        <v>0.5976</v>
      </c>
      <c r="U47" s="248"/>
      <c r="V47" s="248"/>
      <c r="W47" s="248"/>
      <c r="X47" s="248"/>
      <c r="Y47" s="248">
        <f t="shared" si="49"/>
        <v>173.86810000000003</v>
      </c>
      <c r="Z47" s="248"/>
      <c r="AA47" s="248">
        <f t="shared" si="25"/>
        <v>115.64361436</v>
      </c>
      <c r="AB47" s="248">
        <f t="shared" si="50"/>
        <v>7.152</v>
      </c>
      <c r="AC47" s="248">
        <f t="shared" si="50"/>
        <v>23.095</v>
      </c>
      <c r="AD47" s="248">
        <f t="shared" si="50"/>
        <v>0</v>
      </c>
      <c r="AE47" s="248">
        <f t="shared" si="50"/>
        <v>0</v>
      </c>
      <c r="AF47" s="248">
        <f t="shared" si="50"/>
        <v>59.12045840000001</v>
      </c>
      <c r="AG47" s="248">
        <f t="shared" si="50"/>
        <v>2.2350000000000003</v>
      </c>
      <c r="AH47" s="248">
        <f t="shared" si="50"/>
        <v>23.150731959999998</v>
      </c>
      <c r="AI47" s="248">
        <f t="shared" si="50"/>
        <v>0</v>
      </c>
      <c r="AJ47" s="248">
        <f t="shared" si="50"/>
        <v>0.890424</v>
      </c>
      <c r="AK47" s="248">
        <f t="shared" si="50"/>
        <v>0</v>
      </c>
      <c r="AL47" s="248">
        <f t="shared" si="50"/>
        <v>0</v>
      </c>
      <c r="AM47" s="248">
        <f t="shared" si="50"/>
        <v>0</v>
      </c>
      <c r="AN47" s="248">
        <f t="shared" si="50"/>
        <v>0</v>
      </c>
      <c r="AO47" s="248">
        <f t="shared" si="26"/>
        <v>289.51171436000004</v>
      </c>
      <c r="AP47" s="208">
        <f t="shared" si="27"/>
        <v>48.189395150600006</v>
      </c>
      <c r="AQ47" s="248">
        <f t="shared" si="28"/>
        <v>4052.413314127201</v>
      </c>
      <c r="AR47" s="249">
        <v>52.92</v>
      </c>
      <c r="AS47" s="250">
        <v>10.47</v>
      </c>
      <c r="AT47" s="245"/>
      <c r="AU47" s="251">
        <f t="shared" si="29"/>
        <v>381</v>
      </c>
      <c r="AV47" s="248">
        <v>172</v>
      </c>
      <c r="AW47" s="252">
        <f t="shared" si="31"/>
        <v>184</v>
      </c>
      <c r="AX47" s="214">
        <f t="shared" si="32"/>
        <v>22</v>
      </c>
      <c r="AY47" s="215">
        <f t="shared" si="33"/>
        <v>3</v>
      </c>
      <c r="AZ47" s="253">
        <f t="shared" si="34"/>
        <v>3735</v>
      </c>
      <c r="BA47" s="251">
        <f t="shared" si="35"/>
        <v>160</v>
      </c>
      <c r="BB47" s="253">
        <f t="shared" si="51"/>
        <v>160</v>
      </c>
      <c r="BC47" s="245"/>
      <c r="BD47" s="254">
        <f t="shared" si="18"/>
        <v>72</v>
      </c>
      <c r="BE47" s="254">
        <f t="shared" si="41"/>
        <v>72</v>
      </c>
      <c r="BF47" s="251"/>
      <c r="BG47" s="255">
        <f t="shared" si="36"/>
        <v>72</v>
      </c>
      <c r="BH47" s="255">
        <v>70</v>
      </c>
      <c r="BI47" s="255">
        <v>2</v>
      </c>
      <c r="BJ47" s="255"/>
      <c r="BK47" s="255"/>
      <c r="BL47" s="255"/>
      <c r="BM47" s="255"/>
      <c r="BN47" s="255"/>
      <c r="BO47" s="254">
        <f>SUM(BP47:BU47)</f>
        <v>0</v>
      </c>
      <c r="BP47" s="255"/>
      <c r="BQ47" s="255"/>
      <c r="BR47" s="255"/>
      <c r="BS47" s="255"/>
      <c r="BT47" s="255"/>
      <c r="BU47" s="255"/>
      <c r="BV47" s="255"/>
      <c r="BW47" s="255">
        <f t="shared" si="37"/>
        <v>0</v>
      </c>
      <c r="BX47" s="294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95"/>
      <c r="CJ47" s="254">
        <f t="shared" si="53"/>
        <v>3967</v>
      </c>
      <c r="CM47" s="257">
        <v>3362</v>
      </c>
      <c r="CN47" s="258">
        <f t="shared" si="38"/>
        <v>184</v>
      </c>
      <c r="CO47" s="257">
        <f>'[2]Thu'!T198</f>
        <v>155.7142000000001</v>
      </c>
      <c r="CP47" s="221">
        <f t="shared" si="13"/>
        <v>28</v>
      </c>
      <c r="CQ47" s="221">
        <v>286</v>
      </c>
      <c r="CR47" s="221">
        <f t="shared" si="20"/>
        <v>314</v>
      </c>
      <c r="CT47" s="259">
        <f t="shared" si="39"/>
        <v>5</v>
      </c>
      <c r="CU47" s="260">
        <v>5</v>
      </c>
      <c r="DB47" s="262">
        <f t="shared" si="55"/>
        <v>2</v>
      </c>
      <c r="DC47" s="259">
        <v>0.758</v>
      </c>
      <c r="DD47" s="256">
        <f>'[2]Biểu 38'!AT16</f>
        <v>6633</v>
      </c>
      <c r="DI47" s="226">
        <f t="shared" si="4"/>
        <v>3895</v>
      </c>
      <c r="DJ47" s="226">
        <f t="shared" si="5"/>
        <v>72</v>
      </c>
      <c r="DL47" s="220">
        <f t="shared" si="6"/>
        <v>25</v>
      </c>
      <c r="DM47" s="227">
        <f t="shared" si="7"/>
        <v>0</v>
      </c>
      <c r="DN47" s="220">
        <f t="shared" si="8"/>
        <v>72</v>
      </c>
      <c r="DZ47" s="229">
        <f t="shared" si="9"/>
        <v>3895</v>
      </c>
      <c r="EA47" s="229">
        <f t="shared" si="10"/>
        <v>72</v>
      </c>
    </row>
    <row r="48" spans="1:131" s="256" customFormat="1" ht="16.5">
      <c r="A48" s="244" t="s">
        <v>382</v>
      </c>
      <c r="B48" s="245" t="s">
        <v>383</v>
      </c>
      <c r="C48" s="246">
        <f t="shared" si="48"/>
        <v>17</v>
      </c>
      <c r="D48" s="247">
        <v>15</v>
      </c>
      <c r="E48" s="247">
        <v>2</v>
      </c>
      <c r="F48" s="246">
        <f t="shared" si="24"/>
        <v>15</v>
      </c>
      <c r="G48" s="246">
        <v>13</v>
      </c>
      <c r="H48" s="246">
        <v>2</v>
      </c>
      <c r="I48" s="246"/>
      <c r="J48" s="248">
        <v>45.52</v>
      </c>
      <c r="K48" s="248">
        <f t="shared" si="40"/>
        <v>24.6303</v>
      </c>
      <c r="L48" s="248">
        <v>1.65</v>
      </c>
      <c r="M48" s="248">
        <v>6.5</v>
      </c>
      <c r="N48" s="248"/>
      <c r="O48" s="248"/>
      <c r="P48" s="248">
        <v>11.798499999999999</v>
      </c>
      <c r="Q48" s="248">
        <v>0.7</v>
      </c>
      <c r="R48" s="248">
        <v>3.9818000000000002</v>
      </c>
      <c r="S48" s="248"/>
      <c r="T48" s="248"/>
      <c r="U48" s="248"/>
      <c r="V48" s="248"/>
      <c r="W48" s="248"/>
      <c r="X48" s="248"/>
      <c r="Y48" s="248">
        <f t="shared" si="49"/>
        <v>67.82480000000001</v>
      </c>
      <c r="Z48" s="248">
        <v>6.86</v>
      </c>
      <c r="AA48" s="248">
        <f t="shared" si="25"/>
        <v>36.699146999999996</v>
      </c>
      <c r="AB48" s="248">
        <f t="shared" si="50"/>
        <v>2.4585</v>
      </c>
      <c r="AC48" s="248">
        <f t="shared" si="50"/>
        <v>9.685</v>
      </c>
      <c r="AD48" s="248">
        <f t="shared" si="50"/>
        <v>0</v>
      </c>
      <c r="AE48" s="248">
        <f t="shared" si="50"/>
        <v>0</v>
      </c>
      <c r="AF48" s="248">
        <f t="shared" si="50"/>
        <v>17.579765</v>
      </c>
      <c r="AG48" s="248">
        <f t="shared" si="50"/>
        <v>1.043</v>
      </c>
      <c r="AH48" s="248">
        <f t="shared" si="50"/>
        <v>5.932882</v>
      </c>
      <c r="AI48" s="248">
        <f t="shared" si="50"/>
        <v>0</v>
      </c>
      <c r="AJ48" s="248">
        <f t="shared" si="50"/>
        <v>0</v>
      </c>
      <c r="AK48" s="248">
        <f t="shared" si="50"/>
        <v>0</v>
      </c>
      <c r="AL48" s="248">
        <f t="shared" si="50"/>
        <v>0</v>
      </c>
      <c r="AM48" s="248">
        <f t="shared" si="50"/>
        <v>0</v>
      </c>
      <c r="AN48" s="248">
        <f t="shared" si="50"/>
        <v>0</v>
      </c>
      <c r="AO48" s="248">
        <f t="shared" si="26"/>
        <v>111.383947</v>
      </c>
      <c r="AP48" s="208">
        <f t="shared" si="27"/>
        <v>19.522902769999998</v>
      </c>
      <c r="AQ48" s="248">
        <f t="shared" si="28"/>
        <v>1570.88219724</v>
      </c>
      <c r="AR48" s="249">
        <v>9.26</v>
      </c>
      <c r="AS48" s="250">
        <v>1.5</v>
      </c>
      <c r="AT48" s="245"/>
      <c r="AU48" s="251">
        <f t="shared" si="29"/>
        <v>376</v>
      </c>
      <c r="AV48" s="248">
        <v>237</v>
      </c>
      <c r="AW48" s="252">
        <f t="shared" si="31"/>
        <v>128</v>
      </c>
      <c r="AX48" s="214">
        <f t="shared" si="32"/>
        <v>10</v>
      </c>
      <c r="AY48" s="215">
        <f t="shared" si="33"/>
        <v>1</v>
      </c>
      <c r="AZ48" s="253">
        <f t="shared" si="34"/>
        <v>1206</v>
      </c>
      <c r="BA48" s="251">
        <f t="shared" si="35"/>
        <v>75</v>
      </c>
      <c r="BB48" s="253">
        <f t="shared" si="51"/>
        <v>75</v>
      </c>
      <c r="BC48" s="245"/>
      <c r="BD48" s="254">
        <f t="shared" si="18"/>
        <v>0</v>
      </c>
      <c r="BE48" s="254">
        <f t="shared" si="41"/>
        <v>0</v>
      </c>
      <c r="BF48" s="251"/>
      <c r="BG48" s="255">
        <f t="shared" si="36"/>
        <v>0</v>
      </c>
      <c r="BH48" s="255"/>
      <c r="BI48" s="255"/>
      <c r="BJ48" s="255"/>
      <c r="BK48" s="255"/>
      <c r="BL48" s="255"/>
      <c r="BM48" s="255"/>
      <c r="BN48" s="255"/>
      <c r="BO48" s="254">
        <f t="shared" si="42"/>
        <v>0</v>
      </c>
      <c r="BP48" s="255"/>
      <c r="BQ48" s="255"/>
      <c r="BR48" s="255"/>
      <c r="BS48" s="255"/>
      <c r="BT48" s="255"/>
      <c r="BU48" s="255"/>
      <c r="BV48" s="255"/>
      <c r="BW48" s="255">
        <f t="shared" si="37"/>
        <v>0</v>
      </c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255"/>
      <c r="CI48" s="295"/>
      <c r="CJ48" s="254">
        <f t="shared" si="53"/>
        <v>1281</v>
      </c>
      <c r="CM48" s="257">
        <v>1122</v>
      </c>
      <c r="CN48" s="258">
        <f t="shared" si="38"/>
        <v>128</v>
      </c>
      <c r="CO48" s="257">
        <f>'[2]Thu'!T205</f>
        <v>128.288</v>
      </c>
      <c r="CP48" s="221">
        <f t="shared" si="13"/>
        <v>0</v>
      </c>
      <c r="CQ48" s="221">
        <v>36</v>
      </c>
      <c r="CR48" s="221">
        <f t="shared" si="20"/>
        <v>36</v>
      </c>
      <c r="CT48" s="259">
        <f t="shared" si="39"/>
        <v>5</v>
      </c>
      <c r="CU48" s="260">
        <v>5</v>
      </c>
      <c r="DB48" s="262">
        <f t="shared" si="55"/>
        <v>0</v>
      </c>
      <c r="DC48" s="259">
        <v>0.758</v>
      </c>
      <c r="DD48" s="256">
        <f>'[2]Biểu 38'!AT17</f>
        <v>1179</v>
      </c>
      <c r="DE48" s="296">
        <f>CJ48-DD48</f>
        <v>102</v>
      </c>
      <c r="DI48" s="226">
        <f t="shared" si="4"/>
        <v>1281</v>
      </c>
      <c r="DJ48" s="226">
        <f t="shared" si="5"/>
        <v>0</v>
      </c>
      <c r="DL48" s="220">
        <f t="shared" si="6"/>
        <v>11</v>
      </c>
      <c r="DM48" s="227">
        <f t="shared" si="7"/>
        <v>0</v>
      </c>
      <c r="DN48" s="220">
        <f t="shared" si="8"/>
        <v>0</v>
      </c>
      <c r="DZ48" s="229">
        <f t="shared" si="9"/>
        <v>1281</v>
      </c>
      <c r="EA48" s="229">
        <f t="shared" si="10"/>
        <v>0</v>
      </c>
    </row>
    <row r="49" spans="1:131" s="256" customFormat="1" ht="15.75">
      <c r="A49" s="244" t="s">
        <v>384</v>
      </c>
      <c r="B49" s="245" t="s">
        <v>385</v>
      </c>
      <c r="C49" s="246">
        <f t="shared" si="48"/>
        <v>21</v>
      </c>
      <c r="D49" s="247">
        <v>18</v>
      </c>
      <c r="E49" s="247">
        <v>3</v>
      </c>
      <c r="F49" s="246">
        <f t="shared" si="24"/>
        <v>16</v>
      </c>
      <c r="G49" s="246">
        <v>14</v>
      </c>
      <c r="H49" s="246">
        <v>2</v>
      </c>
      <c r="I49" s="246"/>
      <c r="J49" s="248">
        <v>46.78</v>
      </c>
      <c r="K49" s="248">
        <f t="shared" si="40"/>
        <v>48.2805</v>
      </c>
      <c r="L49" s="248">
        <v>1.4</v>
      </c>
      <c r="M49" s="248">
        <v>7</v>
      </c>
      <c r="N49" s="248"/>
      <c r="O49" s="248"/>
      <c r="P49" s="248">
        <v>30.219</v>
      </c>
      <c r="Q49" s="248">
        <v>3.6</v>
      </c>
      <c r="R49" s="248">
        <v>5.461499999999999</v>
      </c>
      <c r="S49" s="248"/>
      <c r="T49" s="248"/>
      <c r="U49" s="248"/>
      <c r="V49" s="248"/>
      <c r="W49" s="248"/>
      <c r="X49" s="248">
        <v>0.6</v>
      </c>
      <c r="Y49" s="248">
        <f t="shared" si="49"/>
        <v>69.7022</v>
      </c>
      <c r="Z49" s="248">
        <v>8.106</v>
      </c>
      <c r="AA49" s="248">
        <f t="shared" si="25"/>
        <v>71.043945</v>
      </c>
      <c r="AB49" s="248">
        <f t="shared" si="50"/>
        <v>2.086</v>
      </c>
      <c r="AC49" s="248">
        <f t="shared" si="50"/>
        <v>10.43</v>
      </c>
      <c r="AD49" s="248">
        <f t="shared" si="50"/>
        <v>0</v>
      </c>
      <c r="AE49" s="248">
        <f t="shared" si="50"/>
        <v>0</v>
      </c>
      <c r="AF49" s="248">
        <f t="shared" si="50"/>
        <v>45.02631</v>
      </c>
      <c r="AG49" s="248">
        <f t="shared" si="50"/>
        <v>5.364</v>
      </c>
      <c r="AH49" s="248">
        <f t="shared" si="50"/>
        <v>8.137635</v>
      </c>
      <c r="AI49" s="248">
        <f t="shared" si="50"/>
        <v>0</v>
      </c>
      <c r="AJ49" s="248">
        <f t="shared" si="50"/>
        <v>0</v>
      </c>
      <c r="AK49" s="248">
        <f t="shared" si="50"/>
        <v>0</v>
      </c>
      <c r="AL49" s="248">
        <f t="shared" si="50"/>
        <v>0</v>
      </c>
      <c r="AM49" s="248">
        <f t="shared" si="50"/>
        <v>0</v>
      </c>
      <c r="AN49" s="248">
        <f t="shared" si="50"/>
        <v>0.894</v>
      </c>
      <c r="AO49" s="248">
        <f t="shared" si="26"/>
        <v>149.746145</v>
      </c>
      <c r="AP49" s="208">
        <f t="shared" si="27"/>
        <v>20.687481225</v>
      </c>
      <c r="AQ49" s="248">
        <f t="shared" si="28"/>
        <v>2045.2035147000001</v>
      </c>
      <c r="AR49" s="249"/>
      <c r="AS49" s="250"/>
      <c r="AT49" s="245"/>
      <c r="AU49" s="251">
        <f t="shared" si="29"/>
        <v>65</v>
      </c>
      <c r="AV49" s="245"/>
      <c r="AW49" s="252">
        <f t="shared" si="31"/>
        <v>4</v>
      </c>
      <c r="AX49" s="214">
        <f t="shared" si="32"/>
        <v>55</v>
      </c>
      <c r="AY49" s="215">
        <f t="shared" si="33"/>
        <v>6</v>
      </c>
      <c r="AZ49" s="253">
        <f t="shared" si="34"/>
        <v>1980</v>
      </c>
      <c r="BA49" s="251">
        <f t="shared" si="35"/>
        <v>400</v>
      </c>
      <c r="BB49" s="253">
        <f t="shared" si="51"/>
        <v>400</v>
      </c>
      <c r="BC49" s="245"/>
      <c r="BD49" s="254">
        <f t="shared" si="18"/>
        <v>265</v>
      </c>
      <c r="BE49" s="254">
        <f t="shared" si="41"/>
        <v>265</v>
      </c>
      <c r="BF49" s="251"/>
      <c r="BG49" s="255">
        <f t="shared" si="36"/>
        <v>9</v>
      </c>
      <c r="BH49" s="255">
        <v>9</v>
      </c>
      <c r="BI49" s="255"/>
      <c r="BJ49" s="255"/>
      <c r="BK49" s="255"/>
      <c r="BL49" s="255">
        <f>174+82</f>
        <v>256</v>
      </c>
      <c r="BM49" s="255"/>
      <c r="BN49" s="255"/>
      <c r="BO49" s="254">
        <f t="shared" si="42"/>
        <v>0</v>
      </c>
      <c r="BP49" s="255"/>
      <c r="BQ49" s="255"/>
      <c r="BR49" s="255"/>
      <c r="BS49" s="255"/>
      <c r="BT49" s="255"/>
      <c r="BU49" s="255"/>
      <c r="BV49" s="255"/>
      <c r="BW49" s="255"/>
      <c r="BX49" s="297"/>
      <c r="BY49" s="255"/>
      <c r="BZ49" s="255"/>
      <c r="CA49" s="255"/>
      <c r="CB49" s="255"/>
      <c r="CC49" s="255"/>
      <c r="CD49" s="255"/>
      <c r="CE49" s="255"/>
      <c r="CF49" s="255"/>
      <c r="CG49" s="255"/>
      <c r="CH49" s="255"/>
      <c r="CI49" s="255"/>
      <c r="CJ49" s="254">
        <f t="shared" si="53"/>
        <v>2645</v>
      </c>
      <c r="CN49" s="258">
        <f t="shared" si="38"/>
        <v>4</v>
      </c>
      <c r="CP49" s="221">
        <f t="shared" si="13"/>
        <v>3.6</v>
      </c>
      <c r="CQ49" s="221"/>
      <c r="CT49" s="256">
        <v>25</v>
      </c>
      <c r="CU49" s="260">
        <v>25</v>
      </c>
      <c r="DB49" s="262">
        <f t="shared" si="55"/>
        <v>0</v>
      </c>
      <c r="DC49" s="259">
        <v>0.758</v>
      </c>
      <c r="DD49" s="256">
        <f>'[2]Biểu 38'!AT56</f>
        <v>2527</v>
      </c>
      <c r="DI49" s="226">
        <f t="shared" si="4"/>
        <v>2380</v>
      </c>
      <c r="DJ49" s="226">
        <f t="shared" si="5"/>
        <v>265</v>
      </c>
      <c r="DL49" s="220">
        <f t="shared" si="6"/>
        <v>61</v>
      </c>
      <c r="DM49" s="227">
        <f t="shared" si="7"/>
        <v>0</v>
      </c>
      <c r="DN49" s="220">
        <f t="shared" si="8"/>
        <v>265</v>
      </c>
      <c r="DZ49" s="229">
        <f t="shared" si="9"/>
        <v>2380</v>
      </c>
      <c r="EA49" s="229">
        <f t="shared" si="10"/>
        <v>265</v>
      </c>
    </row>
    <row r="50" spans="1:133" s="143" customFormat="1" ht="15.75">
      <c r="A50" s="244" t="s">
        <v>384</v>
      </c>
      <c r="B50" s="245" t="s">
        <v>386</v>
      </c>
      <c r="C50" s="246">
        <f t="shared" si="48"/>
        <v>0</v>
      </c>
      <c r="D50" s="246"/>
      <c r="E50" s="246"/>
      <c r="F50" s="246">
        <f t="shared" si="24"/>
        <v>0</v>
      </c>
      <c r="G50" s="246"/>
      <c r="H50" s="246"/>
      <c r="I50" s="246"/>
      <c r="J50" s="248"/>
      <c r="K50" s="248">
        <f t="shared" si="40"/>
        <v>0</v>
      </c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>
        <f t="shared" si="49"/>
        <v>0</v>
      </c>
      <c r="Z50" s="248"/>
      <c r="AA50" s="248">
        <f t="shared" si="25"/>
        <v>0</v>
      </c>
      <c r="AB50" s="248">
        <f t="shared" si="50"/>
        <v>0</v>
      </c>
      <c r="AC50" s="248">
        <f t="shared" si="50"/>
        <v>0</v>
      </c>
      <c r="AD50" s="248">
        <f t="shared" si="50"/>
        <v>0</v>
      </c>
      <c r="AE50" s="248">
        <f t="shared" si="50"/>
        <v>0</v>
      </c>
      <c r="AF50" s="248">
        <f t="shared" si="50"/>
        <v>0</v>
      </c>
      <c r="AG50" s="248">
        <f t="shared" si="50"/>
        <v>0</v>
      </c>
      <c r="AH50" s="248">
        <f t="shared" si="50"/>
        <v>0</v>
      </c>
      <c r="AI50" s="248">
        <f t="shared" si="50"/>
        <v>0</v>
      </c>
      <c r="AJ50" s="248">
        <f t="shared" si="50"/>
        <v>0</v>
      </c>
      <c r="AK50" s="248">
        <f t="shared" si="50"/>
        <v>0</v>
      </c>
      <c r="AL50" s="248">
        <f t="shared" si="50"/>
        <v>0</v>
      </c>
      <c r="AM50" s="248">
        <f t="shared" si="50"/>
        <v>0</v>
      </c>
      <c r="AN50" s="248">
        <f t="shared" si="50"/>
        <v>0</v>
      </c>
      <c r="AO50" s="248">
        <f t="shared" si="26"/>
        <v>0</v>
      </c>
      <c r="AP50" s="208">
        <f t="shared" si="27"/>
        <v>0</v>
      </c>
      <c r="AQ50" s="248">
        <f t="shared" si="28"/>
        <v>0</v>
      </c>
      <c r="AR50" s="249"/>
      <c r="AS50" s="250"/>
      <c r="AT50" s="245"/>
      <c r="AU50" s="251"/>
      <c r="AV50" s="245"/>
      <c r="AW50" s="366"/>
      <c r="AX50" s="366"/>
      <c r="AY50" s="254"/>
      <c r="AZ50" s="253"/>
      <c r="BA50" s="216">
        <f t="shared" si="35"/>
        <v>2000</v>
      </c>
      <c r="BB50" s="253">
        <f>2000</f>
        <v>2000</v>
      </c>
      <c r="BC50" s="245"/>
      <c r="BD50" s="217">
        <f t="shared" si="18"/>
        <v>45200</v>
      </c>
      <c r="BE50" s="215">
        <f t="shared" si="41"/>
        <v>0</v>
      </c>
      <c r="BF50" s="251"/>
      <c r="BG50" s="254">
        <f t="shared" si="36"/>
        <v>0</v>
      </c>
      <c r="BH50" s="255"/>
      <c r="BI50" s="255"/>
      <c r="BJ50" s="255"/>
      <c r="BK50" s="255"/>
      <c r="BL50" s="255"/>
      <c r="BM50" s="255"/>
      <c r="BN50" s="255"/>
      <c r="BO50" s="254">
        <f t="shared" si="42"/>
        <v>7000</v>
      </c>
      <c r="BP50" s="255">
        <v>3500</v>
      </c>
      <c r="BQ50" s="255">
        <v>500</v>
      </c>
      <c r="BR50" s="255">
        <v>2000</v>
      </c>
      <c r="BS50" s="255">
        <v>1000</v>
      </c>
      <c r="BT50" s="255"/>
      <c r="BU50" s="255"/>
      <c r="BV50" s="255"/>
      <c r="BW50" s="255">
        <f t="shared" si="37"/>
        <v>200</v>
      </c>
      <c r="BX50" s="294">
        <v>200</v>
      </c>
      <c r="BY50" s="255"/>
      <c r="BZ50" s="255"/>
      <c r="CA50" s="255"/>
      <c r="CB50" s="255"/>
      <c r="CC50" s="255"/>
      <c r="CD50" s="255"/>
      <c r="CE50" s="255"/>
      <c r="CF50" s="255"/>
      <c r="CG50" s="255"/>
      <c r="CH50" s="255">
        <v>30000</v>
      </c>
      <c r="CI50" s="255">
        <v>8000</v>
      </c>
      <c r="CJ50" s="254">
        <f t="shared" si="53"/>
        <v>47200</v>
      </c>
      <c r="CK50" s="256"/>
      <c r="CL50" s="256"/>
      <c r="CM50" s="256"/>
      <c r="CN50" s="220">
        <f t="shared" si="38"/>
        <v>0</v>
      </c>
      <c r="CO50" s="256"/>
      <c r="CP50" s="221">
        <f t="shared" si="13"/>
        <v>0</v>
      </c>
      <c r="CQ50" s="221"/>
      <c r="CR50" s="256"/>
      <c r="CS50" s="256"/>
      <c r="CT50" s="256"/>
      <c r="CU50" s="256"/>
      <c r="CV50" s="256"/>
      <c r="CW50" s="256"/>
      <c r="CX50" s="256"/>
      <c r="CY50" s="256"/>
      <c r="CZ50" s="256"/>
      <c r="DA50" s="256"/>
      <c r="DB50" s="256"/>
      <c r="DC50" s="256"/>
      <c r="DD50" s="256"/>
      <c r="DE50" s="256"/>
      <c r="DF50" s="256"/>
      <c r="DG50" s="256"/>
      <c r="DH50" s="256"/>
      <c r="DI50" s="226">
        <f t="shared" si="4"/>
        <v>2000</v>
      </c>
      <c r="DJ50" s="226">
        <f t="shared" si="5"/>
        <v>45200</v>
      </c>
      <c r="DK50" s="256"/>
      <c r="DL50" s="220">
        <f t="shared" si="6"/>
        <v>0</v>
      </c>
      <c r="DM50" s="227">
        <f t="shared" si="7"/>
        <v>0</v>
      </c>
      <c r="DN50" s="220">
        <f t="shared" si="8"/>
        <v>40200</v>
      </c>
      <c r="DO50" s="256"/>
      <c r="DP50" s="256"/>
      <c r="DQ50" s="256"/>
      <c r="DR50" s="256"/>
      <c r="DS50" s="256"/>
      <c r="DT50" s="256"/>
      <c r="DU50" s="256"/>
      <c r="DV50" s="256"/>
      <c r="DW50" s="256"/>
      <c r="DX50" s="256"/>
      <c r="DY50" s="256"/>
      <c r="DZ50" s="229">
        <f t="shared" si="9"/>
        <v>2000</v>
      </c>
      <c r="EA50" s="229">
        <f t="shared" si="10"/>
        <v>45200</v>
      </c>
      <c r="EB50" s="256"/>
      <c r="EC50" s="256"/>
    </row>
    <row r="51" spans="1:134" s="162" customFormat="1" ht="15.75">
      <c r="A51" s="244" t="s">
        <v>387</v>
      </c>
      <c r="B51" s="245" t="s">
        <v>224</v>
      </c>
      <c r="C51" s="246">
        <f>SUM(C52:C54)</f>
        <v>138</v>
      </c>
      <c r="D51" s="246">
        <f>SUM(D52:D54)</f>
        <v>130</v>
      </c>
      <c r="E51" s="246">
        <f>SUM(E52:E54)</f>
        <v>8</v>
      </c>
      <c r="F51" s="246">
        <f t="shared" si="24"/>
        <v>156</v>
      </c>
      <c r="G51" s="246">
        <f>SUM(G52:G54)</f>
        <v>147</v>
      </c>
      <c r="H51" s="246">
        <f>SUM(H52:H54)</f>
        <v>9</v>
      </c>
      <c r="I51" s="246"/>
      <c r="J51" s="248">
        <f aca="true" t="shared" si="58" ref="J51:CI51">SUM(J52:J54)</f>
        <v>579.7899999999995</v>
      </c>
      <c r="K51" s="248">
        <f t="shared" si="40"/>
        <v>410.65649999999994</v>
      </c>
      <c r="L51" s="248">
        <f t="shared" si="58"/>
        <v>16.449999999999996</v>
      </c>
      <c r="M51" s="248">
        <f t="shared" si="58"/>
        <v>73.5</v>
      </c>
      <c r="N51" s="248">
        <f t="shared" si="58"/>
        <v>0</v>
      </c>
      <c r="O51" s="248">
        <f t="shared" si="58"/>
        <v>0.6</v>
      </c>
      <c r="P51" s="248">
        <f t="shared" si="58"/>
        <v>227.64649999999992</v>
      </c>
      <c r="Q51" s="248">
        <f t="shared" si="58"/>
        <v>0</v>
      </c>
      <c r="R51" s="248">
        <f t="shared" si="58"/>
        <v>89.46000000000005</v>
      </c>
      <c r="S51" s="248">
        <f t="shared" si="58"/>
        <v>0</v>
      </c>
      <c r="T51" s="248">
        <f t="shared" si="58"/>
        <v>0</v>
      </c>
      <c r="U51" s="248">
        <f t="shared" si="58"/>
        <v>0</v>
      </c>
      <c r="V51" s="248">
        <f t="shared" si="58"/>
        <v>0</v>
      </c>
      <c r="W51" s="248"/>
      <c r="X51" s="248">
        <f t="shared" si="58"/>
        <v>2.9999999999999996</v>
      </c>
      <c r="Y51" s="248">
        <f t="shared" si="49"/>
        <v>863.8870999999992</v>
      </c>
      <c r="Z51" s="248"/>
      <c r="AA51" s="248">
        <f t="shared" si="25"/>
        <v>607.408185</v>
      </c>
      <c r="AB51" s="248">
        <f t="shared" si="50"/>
        <v>24.510499999999993</v>
      </c>
      <c r="AC51" s="248">
        <f t="shared" si="50"/>
        <v>109.515</v>
      </c>
      <c r="AD51" s="248">
        <f t="shared" si="50"/>
        <v>0</v>
      </c>
      <c r="AE51" s="248">
        <f t="shared" si="50"/>
        <v>0.894</v>
      </c>
      <c r="AF51" s="248">
        <f t="shared" si="50"/>
        <v>339.1932849999999</v>
      </c>
      <c r="AG51" s="248">
        <f t="shared" si="50"/>
        <v>0</v>
      </c>
      <c r="AH51" s="248">
        <f t="shared" si="50"/>
        <v>133.2954000000001</v>
      </c>
      <c r="AI51" s="248">
        <f t="shared" si="50"/>
        <v>0</v>
      </c>
      <c r="AJ51" s="248">
        <f t="shared" si="50"/>
        <v>0</v>
      </c>
      <c r="AK51" s="248">
        <f t="shared" si="50"/>
        <v>0</v>
      </c>
      <c r="AL51" s="248">
        <f t="shared" si="50"/>
        <v>0</v>
      </c>
      <c r="AM51" s="248">
        <f t="shared" si="50"/>
        <v>0</v>
      </c>
      <c r="AN51" s="248">
        <f t="shared" si="50"/>
        <v>4.47</v>
      </c>
      <c r="AO51" s="248">
        <f t="shared" si="26"/>
        <v>1475.7652849999993</v>
      </c>
      <c r="AP51" s="248">
        <f>SUM(AP52:AP54)</f>
        <v>245.02545531999985</v>
      </c>
      <c r="AQ51" s="248">
        <f t="shared" si="28"/>
        <v>20649.48888383999</v>
      </c>
      <c r="AR51" s="248">
        <f>SUM(AR52:AR54)</f>
        <v>305.76</v>
      </c>
      <c r="AS51" s="248">
        <f>SUM(AS52:AS54)</f>
        <v>49.3</v>
      </c>
      <c r="AT51" s="248">
        <f t="shared" si="58"/>
        <v>0</v>
      </c>
      <c r="AU51" s="248">
        <f t="shared" si="58"/>
        <v>922</v>
      </c>
      <c r="AV51" s="248">
        <f t="shared" si="58"/>
        <v>0</v>
      </c>
      <c r="AW51" s="248">
        <f t="shared" si="58"/>
        <v>512</v>
      </c>
      <c r="AX51" s="248">
        <f t="shared" si="58"/>
        <v>410</v>
      </c>
      <c r="AY51" s="367">
        <f t="shared" si="58"/>
        <v>0</v>
      </c>
      <c r="AZ51" s="248">
        <f t="shared" si="58"/>
        <v>20373</v>
      </c>
      <c r="BA51" s="248">
        <f t="shared" si="58"/>
        <v>3500</v>
      </c>
      <c r="BB51" s="248">
        <f t="shared" si="58"/>
        <v>3500</v>
      </c>
      <c r="BC51" s="248">
        <f t="shared" si="58"/>
        <v>0</v>
      </c>
      <c r="BD51" s="246">
        <f t="shared" si="58"/>
        <v>7852</v>
      </c>
      <c r="BE51" s="246">
        <f t="shared" si="58"/>
        <v>2979</v>
      </c>
      <c r="BF51" s="248">
        <f t="shared" si="58"/>
        <v>0</v>
      </c>
      <c r="BG51" s="246">
        <f t="shared" si="58"/>
        <v>195</v>
      </c>
      <c r="BH51" s="246">
        <f t="shared" si="58"/>
        <v>195</v>
      </c>
      <c r="BI51" s="246">
        <f t="shared" si="58"/>
        <v>0</v>
      </c>
      <c r="BJ51" s="246">
        <f t="shared" si="58"/>
        <v>0</v>
      </c>
      <c r="BK51" s="246">
        <f t="shared" si="58"/>
        <v>0</v>
      </c>
      <c r="BL51" s="246">
        <f t="shared" si="58"/>
        <v>0</v>
      </c>
      <c r="BM51" s="246">
        <f t="shared" si="58"/>
        <v>0</v>
      </c>
      <c r="BN51" s="246">
        <f t="shared" si="58"/>
        <v>2784</v>
      </c>
      <c r="BO51" s="246">
        <f t="shared" si="58"/>
        <v>0</v>
      </c>
      <c r="BP51" s="246"/>
      <c r="BQ51" s="246"/>
      <c r="BR51" s="246"/>
      <c r="BS51" s="246"/>
      <c r="BT51" s="246"/>
      <c r="BU51" s="246"/>
      <c r="BV51" s="246"/>
      <c r="BW51" s="246">
        <f t="shared" si="58"/>
        <v>4873</v>
      </c>
      <c r="BX51" s="246">
        <f t="shared" si="58"/>
        <v>1261</v>
      </c>
      <c r="BY51" s="246">
        <f t="shared" si="58"/>
        <v>0</v>
      </c>
      <c r="BZ51" s="246">
        <f t="shared" si="58"/>
        <v>700</v>
      </c>
      <c r="CA51" s="246">
        <f t="shared" si="58"/>
        <v>1912</v>
      </c>
      <c r="CB51" s="246">
        <f t="shared" si="58"/>
        <v>1000</v>
      </c>
      <c r="CC51" s="246">
        <f t="shared" si="58"/>
        <v>0</v>
      </c>
      <c r="CD51" s="246"/>
      <c r="CE51" s="246"/>
      <c r="CF51" s="246">
        <f t="shared" si="58"/>
        <v>0</v>
      </c>
      <c r="CG51" s="246">
        <f t="shared" si="58"/>
        <v>0</v>
      </c>
      <c r="CH51" s="246">
        <f t="shared" si="58"/>
        <v>0</v>
      </c>
      <c r="CI51" s="246">
        <f t="shared" si="58"/>
        <v>0</v>
      </c>
      <c r="CJ51" s="254">
        <f t="shared" si="53"/>
        <v>31725</v>
      </c>
      <c r="CK51" s="368">
        <v>39065</v>
      </c>
      <c r="CL51" s="257">
        <v>40128</v>
      </c>
      <c r="CM51" s="258">
        <f>CL51-CJ51</f>
        <v>8403</v>
      </c>
      <c r="CN51" s="220">
        <f t="shared" si="38"/>
        <v>78</v>
      </c>
      <c r="CO51" s="258"/>
      <c r="CP51" s="221">
        <f t="shared" si="13"/>
        <v>78</v>
      </c>
      <c r="CQ51" s="221"/>
      <c r="CR51" s="259"/>
      <c r="CS51" s="259"/>
      <c r="CT51" s="259"/>
      <c r="CU51" s="259"/>
      <c r="CV51" s="259"/>
      <c r="CW51" s="369">
        <f>CJ51-CK51</f>
        <v>-7340</v>
      </c>
      <c r="CX51" s="259"/>
      <c r="CY51" s="259"/>
      <c r="CZ51" s="259"/>
      <c r="DA51" s="259"/>
      <c r="DB51" s="259"/>
      <c r="DC51" s="259"/>
      <c r="DD51" s="259"/>
      <c r="DE51" s="259"/>
      <c r="DF51" s="259"/>
      <c r="DG51" s="259"/>
      <c r="DH51" s="259"/>
      <c r="DI51" s="226">
        <f t="shared" si="4"/>
        <v>23873</v>
      </c>
      <c r="DJ51" s="226">
        <f t="shared" si="5"/>
        <v>7852</v>
      </c>
      <c r="DK51" s="259"/>
      <c r="DL51" s="220">
        <f t="shared" si="6"/>
        <v>410</v>
      </c>
      <c r="DM51" s="227">
        <f t="shared" si="7"/>
        <v>0</v>
      </c>
      <c r="DN51" s="220">
        <f t="shared" si="8"/>
        <v>7852</v>
      </c>
      <c r="DO51" s="259"/>
      <c r="DP51" s="259"/>
      <c r="DQ51" s="259"/>
      <c r="DR51" s="259"/>
      <c r="DS51" s="259"/>
      <c r="DT51" s="259"/>
      <c r="DU51" s="259"/>
      <c r="DV51" s="259"/>
      <c r="DW51" s="259"/>
      <c r="DX51" s="259"/>
      <c r="DY51" s="259"/>
      <c r="DZ51" s="229">
        <f t="shared" si="9"/>
        <v>23873</v>
      </c>
      <c r="EA51" s="229">
        <f t="shared" si="10"/>
        <v>7852</v>
      </c>
      <c r="EB51" s="259"/>
      <c r="EC51" s="259">
        <v>31725</v>
      </c>
      <c r="ED51" s="375">
        <f>CJ51-EC51</f>
        <v>0</v>
      </c>
    </row>
    <row r="52" spans="1:133" s="203" customFormat="1" ht="16.5">
      <c r="A52" s="230">
        <v>1</v>
      </c>
      <c r="B52" s="205" t="s">
        <v>388</v>
      </c>
      <c r="C52" s="206">
        <f t="shared" si="48"/>
        <v>138</v>
      </c>
      <c r="D52" s="207">
        <v>130</v>
      </c>
      <c r="E52" s="207">
        <v>8</v>
      </c>
      <c r="F52" s="206">
        <f t="shared" si="24"/>
        <v>156</v>
      </c>
      <c r="G52" s="206">
        <v>147</v>
      </c>
      <c r="H52" s="206">
        <v>9</v>
      </c>
      <c r="I52" s="206"/>
      <c r="J52" s="208">
        <v>579.7899999999995</v>
      </c>
      <c r="K52" s="208">
        <f t="shared" si="40"/>
        <v>412.82649999999995</v>
      </c>
      <c r="L52" s="208">
        <v>16.449999999999996</v>
      </c>
      <c r="M52" s="208">
        <v>73.5</v>
      </c>
      <c r="N52" s="208"/>
      <c r="O52" s="208">
        <v>0.6</v>
      </c>
      <c r="P52" s="208">
        <v>227.64649999999992</v>
      </c>
      <c r="Q52" s="208"/>
      <c r="R52" s="208">
        <v>89.46000000000005</v>
      </c>
      <c r="S52" s="208"/>
      <c r="T52" s="208"/>
      <c r="U52" s="208"/>
      <c r="V52" s="208"/>
      <c r="W52" s="208">
        <v>2.17</v>
      </c>
      <c r="X52" s="208">
        <v>2.9999999999999996</v>
      </c>
      <c r="Y52" s="208">
        <f t="shared" si="49"/>
        <v>863.8870999999992</v>
      </c>
      <c r="Z52" s="208">
        <v>20.968512</v>
      </c>
      <c r="AA52" s="208">
        <f t="shared" si="25"/>
        <v>610.641485</v>
      </c>
      <c r="AB52" s="208">
        <f t="shared" si="50"/>
        <v>24.510499999999993</v>
      </c>
      <c r="AC52" s="208">
        <f t="shared" si="50"/>
        <v>109.515</v>
      </c>
      <c r="AD52" s="208">
        <f t="shared" si="50"/>
        <v>0</v>
      </c>
      <c r="AE52" s="208">
        <f t="shared" si="50"/>
        <v>0.894</v>
      </c>
      <c r="AF52" s="208">
        <f t="shared" si="50"/>
        <v>339.1932849999999</v>
      </c>
      <c r="AG52" s="208">
        <f t="shared" si="50"/>
        <v>0</v>
      </c>
      <c r="AH52" s="208">
        <f t="shared" si="50"/>
        <v>133.2954000000001</v>
      </c>
      <c r="AI52" s="208">
        <f t="shared" si="50"/>
        <v>0</v>
      </c>
      <c r="AJ52" s="208">
        <f t="shared" si="50"/>
        <v>0</v>
      </c>
      <c r="AK52" s="208">
        <f t="shared" si="50"/>
        <v>0</v>
      </c>
      <c r="AL52" s="208">
        <f t="shared" si="50"/>
        <v>0</v>
      </c>
      <c r="AM52" s="208">
        <f t="shared" si="50"/>
        <v>3.2333</v>
      </c>
      <c r="AN52" s="208">
        <f t="shared" si="50"/>
        <v>4.47</v>
      </c>
      <c r="AO52" s="208">
        <f t="shared" si="26"/>
        <v>1499.9670969999993</v>
      </c>
      <c r="AP52" s="208">
        <f t="shared" si="27"/>
        <v>245.02545531999985</v>
      </c>
      <c r="AQ52" s="208">
        <f t="shared" si="28"/>
        <v>20939.91062783999</v>
      </c>
      <c r="AR52" s="209">
        <f>144.76+223+249-311</f>
        <v>305.76</v>
      </c>
      <c r="AS52" s="210">
        <v>49.3</v>
      </c>
      <c r="AT52" s="217"/>
      <c r="AU52" s="231">
        <f t="shared" si="29"/>
        <v>922</v>
      </c>
      <c r="AV52" s="211"/>
      <c r="AW52" s="231">
        <f>346+138+28</f>
        <v>512</v>
      </c>
      <c r="AX52" s="214">
        <v>410</v>
      </c>
      <c r="AY52" s="215"/>
      <c r="AZ52" s="213">
        <f>ROUND(AQ52+AR52+AS52+AT52-AU52,0)</f>
        <v>20373</v>
      </c>
      <c r="BA52" s="216">
        <f t="shared" si="35"/>
        <v>3500</v>
      </c>
      <c r="BB52" s="298">
        <f>(D52+10)*25</f>
        <v>3500</v>
      </c>
      <c r="BC52" s="211"/>
      <c r="BD52" s="217">
        <f>BE52+BO52+BV52+BW52+CH52+CI52</f>
        <v>3279</v>
      </c>
      <c r="BE52" s="215">
        <f>BF52+BG52+BJ52+BK52+BL52+BM52+BN52</f>
        <v>2979</v>
      </c>
      <c r="BF52" s="299"/>
      <c r="BG52" s="217">
        <f t="shared" si="36"/>
        <v>195</v>
      </c>
      <c r="BH52" s="217">
        <v>195</v>
      </c>
      <c r="BI52" s="217"/>
      <c r="BJ52" s="217"/>
      <c r="BK52" s="217"/>
      <c r="BL52" s="217"/>
      <c r="BM52" s="217"/>
      <c r="BN52" s="217">
        <v>2784</v>
      </c>
      <c r="BO52" s="217"/>
      <c r="BP52" s="217"/>
      <c r="BQ52" s="217"/>
      <c r="BR52" s="217"/>
      <c r="BS52" s="217"/>
      <c r="BT52" s="217"/>
      <c r="BU52" s="217"/>
      <c r="BV52" s="217"/>
      <c r="BW52" s="217">
        <f t="shared" si="37"/>
        <v>300</v>
      </c>
      <c r="BX52" s="300">
        <v>300</v>
      </c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8"/>
      <c r="CJ52" s="254">
        <f t="shared" si="53"/>
        <v>27152</v>
      </c>
      <c r="CK52" s="219"/>
      <c r="CL52" s="219">
        <v>32073</v>
      </c>
      <c r="CM52" s="220">
        <f>CL52-CJ52</f>
        <v>4921</v>
      </c>
      <c r="CN52" s="220">
        <f t="shared" si="38"/>
        <v>315</v>
      </c>
      <c r="CO52" s="220">
        <f>'[2]Thu'!T212</f>
        <v>314.5416</v>
      </c>
      <c r="CP52" s="219"/>
      <c r="CQ52" s="221"/>
      <c r="CR52" s="219"/>
      <c r="CS52" s="219"/>
      <c r="CT52" s="219"/>
      <c r="CU52" s="220"/>
      <c r="CV52" s="220"/>
      <c r="CW52" s="219"/>
      <c r="CX52" s="219"/>
      <c r="CY52" s="219"/>
      <c r="CZ52" s="219"/>
      <c r="DA52" s="219"/>
      <c r="DB52" s="219"/>
      <c r="DC52" s="219"/>
      <c r="DD52" s="219">
        <f>'[2]Biểu 38'!AT18</f>
        <v>27152</v>
      </c>
      <c r="DE52" s="219"/>
      <c r="DF52" s="219"/>
      <c r="DG52" s="219"/>
      <c r="DH52" s="219"/>
      <c r="DI52" s="226">
        <f t="shared" si="4"/>
        <v>23873</v>
      </c>
      <c r="DJ52" s="226">
        <f t="shared" si="5"/>
        <v>3279</v>
      </c>
      <c r="DK52" s="219"/>
      <c r="DL52" s="220">
        <f t="shared" si="6"/>
        <v>410</v>
      </c>
      <c r="DM52" s="227">
        <f t="shared" si="7"/>
        <v>0</v>
      </c>
      <c r="DN52" s="220">
        <f t="shared" si="8"/>
        <v>3279</v>
      </c>
      <c r="DO52" s="219"/>
      <c r="DP52" s="219"/>
      <c r="DQ52" s="219"/>
      <c r="DR52" s="219"/>
      <c r="DS52" s="219"/>
      <c r="DT52" s="219"/>
      <c r="DU52" s="219"/>
      <c r="DV52" s="219"/>
      <c r="DW52" s="219"/>
      <c r="DX52" s="219"/>
      <c r="DY52" s="219"/>
      <c r="DZ52" s="229">
        <f t="shared" si="9"/>
        <v>23873</v>
      </c>
      <c r="EA52" s="229">
        <f t="shared" si="10"/>
        <v>3279</v>
      </c>
      <c r="EB52" s="219"/>
      <c r="EC52" s="219"/>
    </row>
    <row r="53" spans="1:131" ht="15.75">
      <c r="A53" s="230">
        <v>2</v>
      </c>
      <c r="B53" s="205" t="s">
        <v>473</v>
      </c>
      <c r="C53" s="206"/>
      <c r="D53" s="206"/>
      <c r="E53" s="206"/>
      <c r="F53" s="206">
        <f t="shared" si="24"/>
        <v>0</v>
      </c>
      <c r="G53" s="206"/>
      <c r="H53" s="206"/>
      <c r="I53" s="206"/>
      <c r="J53" s="208"/>
      <c r="K53" s="208">
        <f t="shared" si="40"/>
        <v>0</v>
      </c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>
        <f t="shared" si="49"/>
        <v>0</v>
      </c>
      <c r="Z53" s="208"/>
      <c r="AA53" s="208">
        <f t="shared" si="25"/>
        <v>0</v>
      </c>
      <c r="AB53" s="208">
        <f t="shared" si="50"/>
        <v>0</v>
      </c>
      <c r="AC53" s="208">
        <f t="shared" si="50"/>
        <v>0</v>
      </c>
      <c r="AD53" s="208">
        <f t="shared" si="50"/>
        <v>0</v>
      </c>
      <c r="AE53" s="208">
        <f t="shared" si="50"/>
        <v>0</v>
      </c>
      <c r="AF53" s="208">
        <f t="shared" si="50"/>
        <v>0</v>
      </c>
      <c r="AG53" s="208">
        <f t="shared" si="50"/>
        <v>0</v>
      </c>
      <c r="AH53" s="208">
        <f t="shared" si="50"/>
        <v>0</v>
      </c>
      <c r="AI53" s="208">
        <f t="shared" si="50"/>
        <v>0</v>
      </c>
      <c r="AJ53" s="208">
        <f t="shared" si="50"/>
        <v>0</v>
      </c>
      <c r="AK53" s="208">
        <f t="shared" si="50"/>
        <v>0</v>
      </c>
      <c r="AL53" s="208">
        <f t="shared" si="50"/>
        <v>0</v>
      </c>
      <c r="AM53" s="208">
        <f t="shared" si="50"/>
        <v>0</v>
      </c>
      <c r="AN53" s="208">
        <f t="shared" si="50"/>
        <v>0</v>
      </c>
      <c r="AO53" s="208">
        <f t="shared" si="26"/>
        <v>0</v>
      </c>
      <c r="AP53" s="208">
        <f t="shared" si="27"/>
        <v>0</v>
      </c>
      <c r="AQ53" s="208">
        <f t="shared" si="28"/>
        <v>0</v>
      </c>
      <c r="AR53" s="209"/>
      <c r="AS53" s="210"/>
      <c r="AT53" s="211"/>
      <c r="AU53" s="231"/>
      <c r="AV53" s="211"/>
      <c r="AW53" s="370"/>
      <c r="AX53" s="370"/>
      <c r="AY53" s="215"/>
      <c r="AZ53" s="231"/>
      <c r="BA53" s="216">
        <f t="shared" si="35"/>
        <v>0</v>
      </c>
      <c r="BB53" s="213"/>
      <c r="BC53" s="211"/>
      <c r="BD53" s="217">
        <f t="shared" si="18"/>
        <v>961</v>
      </c>
      <c r="BE53" s="215">
        <f t="shared" si="41"/>
        <v>0</v>
      </c>
      <c r="BF53" s="371"/>
      <c r="BG53" s="217">
        <f t="shared" si="36"/>
        <v>0</v>
      </c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>
        <f t="shared" si="37"/>
        <v>961</v>
      </c>
      <c r="BX53" s="372">
        <f>1261-BX52</f>
        <v>961</v>
      </c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54">
        <f t="shared" si="53"/>
        <v>961</v>
      </c>
      <c r="CQ53" s="221"/>
      <c r="DI53" s="226">
        <f t="shared" si="4"/>
        <v>0</v>
      </c>
      <c r="DJ53" s="226">
        <f t="shared" si="5"/>
        <v>961</v>
      </c>
      <c r="DL53" s="220">
        <f t="shared" si="6"/>
        <v>0</v>
      </c>
      <c r="DM53" s="227">
        <f t="shared" si="7"/>
        <v>0</v>
      </c>
      <c r="DN53" s="220">
        <f t="shared" si="8"/>
        <v>961</v>
      </c>
      <c r="DZ53" s="229">
        <f t="shared" si="9"/>
        <v>0</v>
      </c>
      <c r="EA53" s="229">
        <f t="shared" si="10"/>
        <v>961</v>
      </c>
    </row>
    <row r="54" spans="1:133" s="203" customFormat="1" ht="15.75">
      <c r="A54" s="230">
        <v>3</v>
      </c>
      <c r="B54" s="205" t="s">
        <v>386</v>
      </c>
      <c r="C54" s="206"/>
      <c r="D54" s="206"/>
      <c r="E54" s="206"/>
      <c r="F54" s="206">
        <f t="shared" si="24"/>
        <v>0</v>
      </c>
      <c r="G54" s="206"/>
      <c r="H54" s="206"/>
      <c r="I54" s="206"/>
      <c r="J54" s="208"/>
      <c r="K54" s="208">
        <f t="shared" si="40"/>
        <v>0</v>
      </c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>
        <f t="shared" si="49"/>
        <v>0</v>
      </c>
      <c r="Z54" s="208"/>
      <c r="AA54" s="208">
        <f t="shared" si="25"/>
        <v>0</v>
      </c>
      <c r="AB54" s="208">
        <f t="shared" si="50"/>
        <v>0</v>
      </c>
      <c r="AC54" s="208">
        <f t="shared" si="50"/>
        <v>0</v>
      </c>
      <c r="AD54" s="208">
        <f t="shared" si="50"/>
        <v>0</v>
      </c>
      <c r="AE54" s="208">
        <f t="shared" si="50"/>
        <v>0</v>
      </c>
      <c r="AF54" s="208">
        <f t="shared" si="50"/>
        <v>0</v>
      </c>
      <c r="AG54" s="208">
        <f t="shared" si="50"/>
        <v>0</v>
      </c>
      <c r="AH54" s="208">
        <f t="shared" si="50"/>
        <v>0</v>
      </c>
      <c r="AI54" s="208">
        <f t="shared" si="50"/>
        <v>0</v>
      </c>
      <c r="AJ54" s="208">
        <f t="shared" si="50"/>
        <v>0</v>
      </c>
      <c r="AK54" s="208">
        <f t="shared" si="50"/>
        <v>0</v>
      </c>
      <c r="AL54" s="208">
        <f t="shared" si="50"/>
        <v>0</v>
      </c>
      <c r="AM54" s="208">
        <f t="shared" si="50"/>
        <v>0</v>
      </c>
      <c r="AN54" s="208">
        <f t="shared" si="50"/>
        <v>0</v>
      </c>
      <c r="AO54" s="208">
        <f t="shared" si="26"/>
        <v>0</v>
      </c>
      <c r="AP54" s="208">
        <f t="shared" si="27"/>
        <v>0</v>
      </c>
      <c r="AQ54" s="208">
        <f t="shared" si="28"/>
        <v>0</v>
      </c>
      <c r="AR54" s="209"/>
      <c r="AS54" s="210"/>
      <c r="AT54" s="211"/>
      <c r="AU54" s="231"/>
      <c r="AV54" s="211"/>
      <c r="AW54" s="370"/>
      <c r="AX54" s="370"/>
      <c r="AY54" s="215"/>
      <c r="AZ54" s="231"/>
      <c r="BA54" s="216">
        <f t="shared" si="35"/>
        <v>0</v>
      </c>
      <c r="BB54" s="213"/>
      <c r="BC54" s="211"/>
      <c r="BD54" s="217">
        <f t="shared" si="18"/>
        <v>3612</v>
      </c>
      <c r="BE54" s="215">
        <f t="shared" si="41"/>
        <v>0</v>
      </c>
      <c r="BF54" s="371"/>
      <c r="BG54" s="217">
        <f t="shared" si="36"/>
        <v>0</v>
      </c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>
        <f>SUM(BX54:CG54)</f>
        <v>3612</v>
      </c>
      <c r="BX54" s="217"/>
      <c r="BY54" s="217"/>
      <c r="BZ54" s="217">
        <v>700</v>
      </c>
      <c r="CA54" s="373">
        <v>1912</v>
      </c>
      <c r="CB54" s="374">
        <v>1000</v>
      </c>
      <c r="CC54" s="217"/>
      <c r="CD54" s="217"/>
      <c r="CE54" s="217"/>
      <c r="CF54" s="217"/>
      <c r="CG54" s="217"/>
      <c r="CH54" s="217"/>
      <c r="CI54" s="217"/>
      <c r="CJ54" s="254">
        <f t="shared" si="53"/>
        <v>3612</v>
      </c>
      <c r="CK54" s="219"/>
      <c r="CL54" s="219"/>
      <c r="CM54" s="219"/>
      <c r="CN54" s="219"/>
      <c r="CO54" s="219"/>
      <c r="CP54" s="219"/>
      <c r="CQ54" s="221"/>
      <c r="CR54" s="219"/>
      <c r="CS54" s="219"/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26">
        <f t="shared" si="4"/>
        <v>0</v>
      </c>
      <c r="DJ54" s="226">
        <f t="shared" si="5"/>
        <v>3612</v>
      </c>
      <c r="DK54" s="219"/>
      <c r="DL54" s="220">
        <f t="shared" si="6"/>
        <v>0</v>
      </c>
      <c r="DM54" s="227">
        <f t="shared" si="7"/>
        <v>0</v>
      </c>
      <c r="DN54" s="220">
        <f t="shared" si="8"/>
        <v>3612</v>
      </c>
      <c r="DO54" s="219"/>
      <c r="DP54" s="219"/>
      <c r="DQ54" s="219"/>
      <c r="DR54" s="219"/>
      <c r="DS54" s="219"/>
      <c r="DT54" s="219"/>
      <c r="DU54" s="219"/>
      <c r="DV54" s="219"/>
      <c r="DW54" s="219"/>
      <c r="DX54" s="219"/>
      <c r="DY54" s="219"/>
      <c r="DZ54" s="229">
        <f t="shared" si="9"/>
        <v>0</v>
      </c>
      <c r="EA54" s="229">
        <f t="shared" si="10"/>
        <v>3612</v>
      </c>
      <c r="EB54" s="219"/>
      <c r="EC54" s="219"/>
    </row>
    <row r="55" spans="1:133" s="162" customFormat="1" ht="15.75">
      <c r="A55" s="244" t="s">
        <v>389</v>
      </c>
      <c r="B55" s="245" t="s">
        <v>225</v>
      </c>
      <c r="C55" s="344">
        <f>C56</f>
        <v>55</v>
      </c>
      <c r="D55" s="344">
        <f>D56</f>
        <v>50</v>
      </c>
      <c r="E55" s="344">
        <f>E56</f>
        <v>5</v>
      </c>
      <c r="F55" s="246">
        <f t="shared" si="24"/>
        <v>55</v>
      </c>
      <c r="G55" s="344">
        <f aca="true" t="shared" si="59" ref="G55:CI55">G56</f>
        <v>50</v>
      </c>
      <c r="H55" s="344">
        <f t="shared" si="59"/>
        <v>5</v>
      </c>
      <c r="I55" s="344"/>
      <c r="J55" s="345">
        <f t="shared" si="59"/>
        <v>231.09</v>
      </c>
      <c r="K55" s="248">
        <f t="shared" si="40"/>
        <v>111.70024000000001</v>
      </c>
      <c r="L55" s="345">
        <f t="shared" si="59"/>
        <v>11.5</v>
      </c>
      <c r="M55" s="345">
        <f t="shared" si="59"/>
        <v>26.5</v>
      </c>
      <c r="N55" s="345">
        <f t="shared" si="59"/>
        <v>0</v>
      </c>
      <c r="O55" s="345">
        <f t="shared" si="59"/>
        <v>0</v>
      </c>
      <c r="P55" s="345">
        <f t="shared" si="59"/>
        <v>0.86</v>
      </c>
      <c r="Q55" s="345">
        <f t="shared" si="59"/>
        <v>6.64</v>
      </c>
      <c r="R55" s="345">
        <f t="shared" si="59"/>
        <v>0.46224000000000004</v>
      </c>
      <c r="S55" s="345">
        <f t="shared" si="59"/>
        <v>0</v>
      </c>
      <c r="T55" s="345">
        <f t="shared" si="59"/>
        <v>2.0724000000000005</v>
      </c>
      <c r="U55" s="345">
        <f t="shared" si="59"/>
        <v>0</v>
      </c>
      <c r="V55" s="345">
        <f t="shared" si="59"/>
        <v>61.1656</v>
      </c>
      <c r="W55" s="345"/>
      <c r="X55" s="345">
        <f t="shared" si="59"/>
        <v>2.5</v>
      </c>
      <c r="Y55" s="248">
        <f t="shared" si="49"/>
        <v>344.3241</v>
      </c>
      <c r="Z55" s="248"/>
      <c r="AA55" s="248">
        <f t="shared" si="25"/>
        <v>162.7083576</v>
      </c>
      <c r="AB55" s="248">
        <f t="shared" si="50"/>
        <v>17.135</v>
      </c>
      <c r="AC55" s="248">
        <f t="shared" si="50"/>
        <v>39.485</v>
      </c>
      <c r="AD55" s="248">
        <f t="shared" si="50"/>
        <v>0</v>
      </c>
      <c r="AE55" s="248">
        <f t="shared" si="50"/>
        <v>0</v>
      </c>
      <c r="AF55" s="248">
        <f t="shared" si="50"/>
        <v>1.2813999999999999</v>
      </c>
      <c r="AG55" s="248">
        <f t="shared" si="50"/>
        <v>9.8936</v>
      </c>
      <c r="AH55" s="248">
        <f t="shared" si="50"/>
        <v>0.6887376000000001</v>
      </c>
      <c r="AI55" s="248">
        <f t="shared" si="50"/>
        <v>0</v>
      </c>
      <c r="AJ55" s="248">
        <f t="shared" si="50"/>
        <v>3.0878760000000005</v>
      </c>
      <c r="AK55" s="248">
        <f t="shared" si="50"/>
        <v>0</v>
      </c>
      <c r="AL55" s="248">
        <f t="shared" si="50"/>
        <v>91.136744</v>
      </c>
      <c r="AM55" s="248">
        <f t="shared" si="50"/>
        <v>0</v>
      </c>
      <c r="AN55" s="248">
        <f t="shared" si="50"/>
        <v>3.725</v>
      </c>
      <c r="AO55" s="248">
        <f t="shared" si="26"/>
        <v>510.7574576</v>
      </c>
      <c r="AP55" s="208">
        <f>AP56</f>
        <v>85.83039269599999</v>
      </c>
      <c r="AQ55" s="248">
        <f t="shared" si="28"/>
        <v>7159.054203551999</v>
      </c>
      <c r="AR55" s="345">
        <f>AR56</f>
        <v>150</v>
      </c>
      <c r="AS55" s="345">
        <f>AS56</f>
        <v>0</v>
      </c>
      <c r="AT55" s="345">
        <f t="shared" si="59"/>
        <v>0</v>
      </c>
      <c r="AU55" s="345">
        <f t="shared" si="59"/>
        <v>201</v>
      </c>
      <c r="AV55" s="345">
        <f t="shared" si="59"/>
        <v>0</v>
      </c>
      <c r="AW55" s="345">
        <f t="shared" si="59"/>
        <v>0</v>
      </c>
      <c r="AX55" s="345">
        <f t="shared" si="59"/>
        <v>201</v>
      </c>
      <c r="AY55" s="364">
        <f t="shared" si="59"/>
        <v>0</v>
      </c>
      <c r="AZ55" s="345">
        <f t="shared" si="59"/>
        <v>6981</v>
      </c>
      <c r="BA55" s="345">
        <f t="shared" si="59"/>
        <v>2090</v>
      </c>
      <c r="BB55" s="345">
        <f t="shared" si="59"/>
        <v>2090</v>
      </c>
      <c r="BC55" s="345">
        <f t="shared" si="59"/>
        <v>0</v>
      </c>
      <c r="BD55" s="344">
        <f t="shared" si="59"/>
        <v>20</v>
      </c>
      <c r="BE55" s="215">
        <f t="shared" si="41"/>
        <v>0</v>
      </c>
      <c r="BF55" s="345">
        <f t="shared" si="59"/>
        <v>0</v>
      </c>
      <c r="BG55" s="344">
        <f>BG56</f>
        <v>0</v>
      </c>
      <c r="BH55" s="344">
        <f>BH56</f>
        <v>0</v>
      </c>
      <c r="BI55" s="344">
        <f>BI56</f>
        <v>0</v>
      </c>
      <c r="BJ55" s="344">
        <f>BJ56</f>
        <v>0</v>
      </c>
      <c r="BK55" s="344">
        <f t="shared" si="59"/>
        <v>0</v>
      </c>
      <c r="BL55" s="344">
        <f t="shared" si="59"/>
        <v>0</v>
      </c>
      <c r="BM55" s="344">
        <f t="shared" si="59"/>
        <v>0</v>
      </c>
      <c r="BN55" s="344">
        <f t="shared" si="59"/>
        <v>0</v>
      </c>
      <c r="BO55" s="344">
        <f t="shared" si="59"/>
        <v>0</v>
      </c>
      <c r="BP55" s="344">
        <f t="shared" si="59"/>
        <v>0</v>
      </c>
      <c r="BQ55" s="344">
        <f t="shared" si="59"/>
        <v>0</v>
      </c>
      <c r="BR55" s="344">
        <f t="shared" si="59"/>
        <v>0</v>
      </c>
      <c r="BS55" s="344">
        <f t="shared" si="59"/>
        <v>0</v>
      </c>
      <c r="BT55" s="344">
        <f t="shared" si="59"/>
        <v>0</v>
      </c>
      <c r="BU55" s="344">
        <f t="shared" si="59"/>
        <v>0</v>
      </c>
      <c r="BV55" s="344">
        <f t="shared" si="59"/>
        <v>20</v>
      </c>
      <c r="BW55" s="344">
        <f t="shared" si="59"/>
        <v>0</v>
      </c>
      <c r="BX55" s="344">
        <f t="shared" si="59"/>
        <v>0</v>
      </c>
      <c r="BY55" s="344">
        <f t="shared" si="59"/>
        <v>0</v>
      </c>
      <c r="BZ55" s="344">
        <f t="shared" si="59"/>
        <v>0</v>
      </c>
      <c r="CA55" s="344">
        <f t="shared" si="59"/>
        <v>0</v>
      </c>
      <c r="CB55" s="344">
        <f t="shared" si="59"/>
        <v>0</v>
      </c>
      <c r="CC55" s="344">
        <f t="shared" si="59"/>
        <v>0</v>
      </c>
      <c r="CD55" s="344"/>
      <c r="CE55" s="344"/>
      <c r="CF55" s="344">
        <f t="shared" si="59"/>
        <v>0</v>
      </c>
      <c r="CG55" s="344">
        <f t="shared" si="59"/>
        <v>0</v>
      </c>
      <c r="CH55" s="344">
        <f t="shared" si="59"/>
        <v>0</v>
      </c>
      <c r="CI55" s="344">
        <f t="shared" si="59"/>
        <v>0</v>
      </c>
      <c r="CJ55" s="254">
        <f t="shared" si="53"/>
        <v>9091</v>
      </c>
      <c r="CK55" s="259"/>
      <c r="CL55" s="259"/>
      <c r="CM55" s="259"/>
      <c r="CN55" s="259"/>
      <c r="CO55" s="259"/>
      <c r="CP55" s="259"/>
      <c r="CQ55" s="221"/>
      <c r="CR55" s="259"/>
      <c r="CS55" s="259"/>
      <c r="CT55" s="259"/>
      <c r="CU55" s="259"/>
      <c r="CV55" s="259"/>
      <c r="CW55" s="259"/>
      <c r="CX55" s="259"/>
      <c r="CY55" s="259"/>
      <c r="CZ55" s="259"/>
      <c r="DA55" s="259"/>
      <c r="DB55" s="259"/>
      <c r="DC55" s="259"/>
      <c r="DD55" s="259"/>
      <c r="DE55" s="259"/>
      <c r="DF55" s="259"/>
      <c r="DG55" s="259"/>
      <c r="DH55" s="259"/>
      <c r="DI55" s="226">
        <f t="shared" si="4"/>
        <v>9071</v>
      </c>
      <c r="DJ55" s="226">
        <f t="shared" si="5"/>
        <v>20</v>
      </c>
      <c r="DK55" s="259"/>
      <c r="DL55" s="220">
        <f t="shared" si="6"/>
        <v>201</v>
      </c>
      <c r="DM55" s="227">
        <f t="shared" si="7"/>
        <v>0</v>
      </c>
      <c r="DN55" s="220">
        <f t="shared" si="8"/>
        <v>0</v>
      </c>
      <c r="DO55" s="259"/>
      <c r="DP55" s="259"/>
      <c r="DQ55" s="259"/>
      <c r="DR55" s="259"/>
      <c r="DS55" s="259"/>
      <c r="DT55" s="259"/>
      <c r="DU55" s="259"/>
      <c r="DV55" s="259"/>
      <c r="DW55" s="259"/>
      <c r="DX55" s="259"/>
      <c r="DY55" s="259"/>
      <c r="DZ55" s="229">
        <f t="shared" si="9"/>
        <v>9071</v>
      </c>
      <c r="EA55" s="229">
        <f t="shared" si="10"/>
        <v>20</v>
      </c>
      <c r="EB55" s="259"/>
      <c r="EC55" s="259"/>
    </row>
    <row r="56" spans="1:131" ht="15.75">
      <c r="A56" s="230"/>
      <c r="B56" s="205" t="s">
        <v>390</v>
      </c>
      <c r="C56" s="206">
        <f>SUM(D56:E56)</f>
        <v>55</v>
      </c>
      <c r="D56" s="206">
        <v>50</v>
      </c>
      <c r="E56" s="206">
        <v>5</v>
      </c>
      <c r="F56" s="206">
        <f t="shared" si="24"/>
        <v>55</v>
      </c>
      <c r="G56" s="206">
        <v>50</v>
      </c>
      <c r="H56" s="206">
        <v>5</v>
      </c>
      <c r="I56" s="206"/>
      <c r="J56" s="208">
        <v>231.09</v>
      </c>
      <c r="K56" s="208">
        <f t="shared" si="40"/>
        <v>111.70024000000001</v>
      </c>
      <c r="L56" s="208">
        <v>11.5</v>
      </c>
      <c r="M56" s="208">
        <v>26.5</v>
      </c>
      <c r="N56" s="208">
        <v>0</v>
      </c>
      <c r="O56" s="208">
        <v>0</v>
      </c>
      <c r="P56" s="208">
        <v>0.86</v>
      </c>
      <c r="Q56" s="208">
        <v>6.64</v>
      </c>
      <c r="R56" s="208">
        <v>0.46224000000000004</v>
      </c>
      <c r="S56" s="208">
        <v>0</v>
      </c>
      <c r="T56" s="208">
        <v>2.0724000000000005</v>
      </c>
      <c r="U56" s="208">
        <v>0</v>
      </c>
      <c r="V56" s="208">
        <f>(J56+L56+T56)*25%</f>
        <v>61.1656</v>
      </c>
      <c r="W56" s="208"/>
      <c r="X56" s="208">
        <v>2.5</v>
      </c>
      <c r="Y56" s="208">
        <f t="shared" si="49"/>
        <v>344.3241</v>
      </c>
      <c r="Z56" s="208"/>
      <c r="AA56" s="208">
        <f t="shared" si="25"/>
        <v>162.7083576</v>
      </c>
      <c r="AB56" s="208">
        <f t="shared" si="50"/>
        <v>17.135</v>
      </c>
      <c r="AC56" s="208">
        <f t="shared" si="50"/>
        <v>39.485</v>
      </c>
      <c r="AD56" s="208">
        <f t="shared" si="50"/>
        <v>0</v>
      </c>
      <c r="AE56" s="208">
        <f t="shared" si="50"/>
        <v>0</v>
      </c>
      <c r="AF56" s="208">
        <f t="shared" si="50"/>
        <v>1.2813999999999999</v>
      </c>
      <c r="AG56" s="208">
        <f t="shared" si="50"/>
        <v>9.8936</v>
      </c>
      <c r="AH56" s="208">
        <f t="shared" si="50"/>
        <v>0.6887376000000001</v>
      </c>
      <c r="AI56" s="208">
        <f t="shared" si="50"/>
        <v>0</v>
      </c>
      <c r="AJ56" s="208">
        <f t="shared" si="50"/>
        <v>3.0878760000000005</v>
      </c>
      <c r="AK56" s="208">
        <f t="shared" si="50"/>
        <v>0</v>
      </c>
      <c r="AL56" s="208">
        <f t="shared" si="50"/>
        <v>91.136744</v>
      </c>
      <c r="AM56" s="208">
        <f t="shared" si="50"/>
        <v>0</v>
      </c>
      <c r="AN56" s="208">
        <f t="shared" si="50"/>
        <v>3.725</v>
      </c>
      <c r="AO56" s="208">
        <f t="shared" si="26"/>
        <v>510.7574576</v>
      </c>
      <c r="AP56" s="208">
        <f t="shared" si="27"/>
        <v>85.83039269599999</v>
      </c>
      <c r="AQ56" s="208">
        <f t="shared" si="28"/>
        <v>7159.054203551999</v>
      </c>
      <c r="AR56" s="346">
        <v>150</v>
      </c>
      <c r="AS56" s="231"/>
      <c r="AT56" s="231"/>
      <c r="AU56" s="231">
        <f>SUM(AV56:AY56)</f>
        <v>201</v>
      </c>
      <c r="AV56" s="211"/>
      <c r="AW56" s="211"/>
      <c r="AX56" s="214">
        <v>201</v>
      </c>
      <c r="AY56" s="215"/>
      <c r="AZ56" s="213">
        <f>ROUND(AQ56+AR56+AS56+AT56-AU56,0)-127</f>
        <v>6981</v>
      </c>
      <c r="BA56" s="216">
        <f t="shared" si="35"/>
        <v>2090</v>
      </c>
      <c r="BB56" s="213">
        <f>(C56)*38</f>
        <v>2090</v>
      </c>
      <c r="BC56" s="211"/>
      <c r="BD56" s="217">
        <f t="shared" si="18"/>
        <v>20</v>
      </c>
      <c r="BE56" s="215">
        <f t="shared" si="41"/>
        <v>0</v>
      </c>
      <c r="BF56" s="216"/>
      <c r="BG56" s="217">
        <f t="shared" si="36"/>
        <v>0</v>
      </c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>
        <v>20</v>
      </c>
      <c r="BW56" s="217">
        <f t="shared" si="37"/>
        <v>0</v>
      </c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5">
        <f t="shared" si="53"/>
        <v>9091</v>
      </c>
      <c r="CL56" s="229">
        <v>8959</v>
      </c>
      <c r="CM56" s="220">
        <f>CJ56-CL56</f>
        <v>132</v>
      </c>
      <c r="CN56" s="220"/>
      <c r="CO56" s="220"/>
      <c r="CQ56" s="221"/>
      <c r="DI56" s="226">
        <f t="shared" si="4"/>
        <v>9071</v>
      </c>
      <c r="DJ56" s="226">
        <f t="shared" si="5"/>
        <v>20</v>
      </c>
      <c r="DL56" s="220">
        <f t="shared" si="6"/>
        <v>201</v>
      </c>
      <c r="DM56" s="227">
        <f t="shared" si="7"/>
        <v>0</v>
      </c>
      <c r="DN56" s="220">
        <f t="shared" si="8"/>
        <v>0</v>
      </c>
      <c r="DZ56" s="229">
        <f t="shared" si="9"/>
        <v>9071</v>
      </c>
      <c r="EA56" s="229">
        <f t="shared" si="10"/>
        <v>20</v>
      </c>
    </row>
    <row r="57" spans="1:133" s="143" customFormat="1" ht="15.75" hidden="1">
      <c r="A57" s="244" t="s">
        <v>391</v>
      </c>
      <c r="B57" s="245" t="s">
        <v>392</v>
      </c>
      <c r="C57" s="347">
        <f>C58</f>
        <v>0</v>
      </c>
      <c r="D57" s="347">
        <f>D58</f>
        <v>0</v>
      </c>
      <c r="E57" s="347">
        <f>E58</f>
        <v>0</v>
      </c>
      <c r="F57" s="348">
        <f t="shared" si="24"/>
        <v>0</v>
      </c>
      <c r="G57" s="347"/>
      <c r="H57" s="347"/>
      <c r="I57" s="255">
        <f aca="true" t="shared" si="60" ref="I57:BT57">I58</f>
        <v>0</v>
      </c>
      <c r="J57" s="255">
        <f t="shared" si="60"/>
        <v>0</v>
      </c>
      <c r="K57" s="208">
        <f t="shared" si="40"/>
        <v>0</v>
      </c>
      <c r="L57" s="255">
        <f t="shared" si="60"/>
        <v>0</v>
      </c>
      <c r="M57" s="255">
        <f t="shared" si="60"/>
        <v>0</v>
      </c>
      <c r="N57" s="255">
        <f t="shared" si="60"/>
        <v>0</v>
      </c>
      <c r="O57" s="255">
        <f t="shared" si="60"/>
        <v>0</v>
      </c>
      <c r="P57" s="255">
        <f t="shared" si="60"/>
        <v>0</v>
      </c>
      <c r="Q57" s="255">
        <f t="shared" si="60"/>
        <v>0</v>
      </c>
      <c r="R57" s="255">
        <f t="shared" si="60"/>
        <v>0</v>
      </c>
      <c r="S57" s="255">
        <f t="shared" si="60"/>
        <v>0</v>
      </c>
      <c r="T57" s="255">
        <f t="shared" si="60"/>
        <v>0</v>
      </c>
      <c r="U57" s="255">
        <f t="shared" si="60"/>
        <v>0</v>
      </c>
      <c r="V57" s="255">
        <f t="shared" si="60"/>
        <v>0</v>
      </c>
      <c r="W57" s="255"/>
      <c r="X57" s="255">
        <f t="shared" si="60"/>
        <v>0</v>
      </c>
      <c r="Y57" s="208">
        <f t="shared" si="49"/>
        <v>0</v>
      </c>
      <c r="Z57" s="208"/>
      <c r="AA57" s="208">
        <f t="shared" si="25"/>
        <v>0</v>
      </c>
      <c r="AB57" s="208">
        <f t="shared" si="50"/>
        <v>0</v>
      </c>
      <c r="AC57" s="208">
        <f t="shared" si="50"/>
        <v>0</v>
      </c>
      <c r="AD57" s="208">
        <f t="shared" si="50"/>
        <v>0</v>
      </c>
      <c r="AE57" s="208">
        <f t="shared" si="50"/>
        <v>0</v>
      </c>
      <c r="AF57" s="208">
        <f t="shared" si="50"/>
        <v>0</v>
      </c>
      <c r="AG57" s="208">
        <f t="shared" si="50"/>
        <v>0</v>
      </c>
      <c r="AH57" s="208">
        <f t="shared" si="50"/>
        <v>0</v>
      </c>
      <c r="AI57" s="208">
        <f t="shared" si="50"/>
        <v>0</v>
      </c>
      <c r="AJ57" s="208">
        <f aca="true" t="shared" si="61" ref="AJ57:AN58">T57*1.49</f>
        <v>0</v>
      </c>
      <c r="AK57" s="208">
        <f t="shared" si="61"/>
        <v>0</v>
      </c>
      <c r="AL57" s="208">
        <f t="shared" si="61"/>
        <v>0</v>
      </c>
      <c r="AM57" s="208">
        <f t="shared" si="61"/>
        <v>0</v>
      </c>
      <c r="AN57" s="208">
        <f t="shared" si="61"/>
        <v>0</v>
      </c>
      <c r="AO57" s="208">
        <f t="shared" si="26"/>
        <v>0</v>
      </c>
      <c r="AP57" s="208">
        <f t="shared" si="27"/>
        <v>0</v>
      </c>
      <c r="AQ57" s="208">
        <f t="shared" si="28"/>
        <v>0</v>
      </c>
      <c r="AR57" s="255">
        <f>AR58</f>
        <v>0</v>
      </c>
      <c r="AS57" s="255">
        <f>AS58</f>
        <v>0</v>
      </c>
      <c r="AT57" s="255">
        <f t="shared" si="60"/>
        <v>0</v>
      </c>
      <c r="AU57" s="255">
        <f t="shared" si="60"/>
        <v>0</v>
      </c>
      <c r="AV57" s="255">
        <f t="shared" si="60"/>
        <v>0</v>
      </c>
      <c r="AW57" s="255">
        <f t="shared" si="60"/>
        <v>0</v>
      </c>
      <c r="AX57" s="255"/>
      <c r="AY57" s="254">
        <f t="shared" si="60"/>
        <v>0</v>
      </c>
      <c r="AZ57" s="255">
        <f t="shared" si="60"/>
        <v>0</v>
      </c>
      <c r="BA57" s="255">
        <f t="shared" si="60"/>
        <v>0</v>
      </c>
      <c r="BB57" s="255">
        <f t="shared" si="60"/>
        <v>0</v>
      </c>
      <c r="BC57" s="255">
        <f t="shared" si="60"/>
        <v>0</v>
      </c>
      <c r="BD57" s="255">
        <f t="shared" si="60"/>
        <v>0</v>
      </c>
      <c r="BE57" s="255">
        <f t="shared" si="60"/>
        <v>0</v>
      </c>
      <c r="BF57" s="255">
        <f t="shared" si="60"/>
        <v>0</v>
      </c>
      <c r="BG57" s="255">
        <f t="shared" si="60"/>
        <v>0</v>
      </c>
      <c r="BH57" s="255">
        <f t="shared" si="60"/>
        <v>0</v>
      </c>
      <c r="BI57" s="255">
        <f t="shared" si="60"/>
        <v>0</v>
      </c>
      <c r="BJ57" s="255">
        <f t="shared" si="60"/>
        <v>0</v>
      </c>
      <c r="BK57" s="255">
        <f t="shared" si="60"/>
        <v>0</v>
      </c>
      <c r="BL57" s="255">
        <f t="shared" si="60"/>
        <v>0</v>
      </c>
      <c r="BM57" s="255">
        <f t="shared" si="60"/>
        <v>0</v>
      </c>
      <c r="BN57" s="255">
        <f t="shared" si="60"/>
        <v>0</v>
      </c>
      <c r="BO57" s="255">
        <f t="shared" si="60"/>
        <v>0</v>
      </c>
      <c r="BP57" s="255">
        <f t="shared" si="60"/>
        <v>0</v>
      </c>
      <c r="BQ57" s="255">
        <f t="shared" si="60"/>
        <v>0</v>
      </c>
      <c r="BR57" s="255">
        <f t="shared" si="60"/>
        <v>0</v>
      </c>
      <c r="BS57" s="255">
        <f t="shared" si="60"/>
        <v>0</v>
      </c>
      <c r="BT57" s="255">
        <f t="shared" si="60"/>
        <v>0</v>
      </c>
      <c r="BU57" s="255">
        <f aca="true" t="shared" si="62" ref="BU57:CI57">BU58</f>
        <v>0</v>
      </c>
      <c r="BV57" s="255">
        <f t="shared" si="62"/>
        <v>0</v>
      </c>
      <c r="BW57" s="255">
        <f t="shared" si="62"/>
        <v>0</v>
      </c>
      <c r="BX57" s="255">
        <f t="shared" si="62"/>
        <v>0</v>
      </c>
      <c r="BY57" s="255">
        <f t="shared" si="62"/>
        <v>0</v>
      </c>
      <c r="BZ57" s="255">
        <f t="shared" si="62"/>
        <v>0</v>
      </c>
      <c r="CA57" s="255">
        <f t="shared" si="62"/>
        <v>0</v>
      </c>
      <c r="CB57" s="255">
        <f t="shared" si="62"/>
        <v>0</v>
      </c>
      <c r="CC57" s="255">
        <f t="shared" si="62"/>
        <v>0</v>
      </c>
      <c r="CD57" s="255">
        <f t="shared" si="62"/>
        <v>0</v>
      </c>
      <c r="CE57" s="255">
        <f t="shared" si="62"/>
        <v>0</v>
      </c>
      <c r="CF57" s="255">
        <f t="shared" si="62"/>
        <v>0</v>
      </c>
      <c r="CG57" s="255">
        <f t="shared" si="62"/>
        <v>0</v>
      </c>
      <c r="CH57" s="255">
        <f t="shared" si="62"/>
        <v>0</v>
      </c>
      <c r="CI57" s="255">
        <f t="shared" si="62"/>
        <v>0</v>
      </c>
      <c r="CJ57" s="254">
        <f t="shared" si="53"/>
        <v>0</v>
      </c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26">
        <f t="shared" si="4"/>
        <v>0</v>
      </c>
      <c r="DJ57" s="226">
        <f t="shared" si="5"/>
        <v>0</v>
      </c>
      <c r="DK57" s="256"/>
      <c r="DL57" s="220">
        <f t="shared" si="6"/>
        <v>0</v>
      </c>
      <c r="DM57" s="227">
        <f t="shared" si="7"/>
        <v>0</v>
      </c>
      <c r="DN57" s="220">
        <f t="shared" si="8"/>
        <v>0</v>
      </c>
      <c r="DO57" s="256"/>
      <c r="DP57" s="256"/>
      <c r="DQ57" s="256"/>
      <c r="DR57" s="256"/>
      <c r="DS57" s="256"/>
      <c r="DT57" s="256"/>
      <c r="DU57" s="256"/>
      <c r="DV57" s="256"/>
      <c r="DW57" s="256"/>
      <c r="DX57" s="256"/>
      <c r="DY57" s="256"/>
      <c r="DZ57" s="256"/>
      <c r="EA57" s="256"/>
      <c r="EB57" s="256"/>
      <c r="EC57" s="256"/>
    </row>
    <row r="58" spans="1:118" ht="15.75" hidden="1">
      <c r="A58" s="211"/>
      <c r="B58" s="205" t="s">
        <v>390</v>
      </c>
      <c r="C58" s="349"/>
      <c r="D58" s="349"/>
      <c r="E58" s="349"/>
      <c r="F58" s="350">
        <f t="shared" si="24"/>
        <v>0</v>
      </c>
      <c r="G58" s="349"/>
      <c r="H58" s="349"/>
      <c r="I58" s="211"/>
      <c r="J58" s="211"/>
      <c r="K58" s="208">
        <f t="shared" si="40"/>
        <v>0</v>
      </c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08">
        <f t="shared" si="49"/>
        <v>0</v>
      </c>
      <c r="Z58" s="208"/>
      <c r="AA58" s="208">
        <f t="shared" si="25"/>
        <v>0</v>
      </c>
      <c r="AB58" s="208">
        <f aca="true" t="shared" si="63" ref="AB58:AI58">L58*1.49</f>
        <v>0</v>
      </c>
      <c r="AC58" s="208">
        <f t="shared" si="63"/>
        <v>0</v>
      </c>
      <c r="AD58" s="208">
        <f t="shared" si="63"/>
        <v>0</v>
      </c>
      <c r="AE58" s="208">
        <f t="shared" si="63"/>
        <v>0</v>
      </c>
      <c r="AF58" s="208">
        <f t="shared" si="63"/>
        <v>0</v>
      </c>
      <c r="AG58" s="208">
        <f t="shared" si="63"/>
        <v>0</v>
      </c>
      <c r="AH58" s="208">
        <f t="shared" si="63"/>
        <v>0</v>
      </c>
      <c r="AI58" s="208">
        <f t="shared" si="63"/>
        <v>0</v>
      </c>
      <c r="AJ58" s="208">
        <f t="shared" si="61"/>
        <v>0</v>
      </c>
      <c r="AK58" s="208">
        <f t="shared" si="61"/>
        <v>0</v>
      </c>
      <c r="AL58" s="208">
        <f t="shared" si="61"/>
        <v>0</v>
      </c>
      <c r="AM58" s="208">
        <f t="shared" si="61"/>
        <v>0</v>
      </c>
      <c r="AN58" s="208">
        <f t="shared" si="61"/>
        <v>0</v>
      </c>
      <c r="AO58" s="208">
        <f t="shared" si="26"/>
        <v>0</v>
      </c>
      <c r="AP58" s="208">
        <f t="shared" si="27"/>
        <v>0</v>
      </c>
      <c r="AQ58" s="208">
        <f t="shared" si="28"/>
        <v>0</v>
      </c>
      <c r="AR58" s="211"/>
      <c r="AS58" s="211"/>
      <c r="AT58" s="211"/>
      <c r="AU58" s="211"/>
      <c r="AV58" s="211"/>
      <c r="AW58" s="211"/>
      <c r="AX58" s="211"/>
      <c r="AY58" s="278"/>
      <c r="AZ58" s="211"/>
      <c r="BA58" s="216">
        <f t="shared" si="35"/>
        <v>0</v>
      </c>
      <c r="BB58" s="213"/>
      <c r="BC58" s="211"/>
      <c r="BD58" s="217">
        <f t="shared" si="18"/>
        <v>0</v>
      </c>
      <c r="BE58" s="215">
        <f t="shared" si="41"/>
        <v>0</v>
      </c>
      <c r="BF58" s="211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>
        <f t="shared" si="37"/>
        <v>0</v>
      </c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5">
        <f t="shared" si="53"/>
        <v>0</v>
      </c>
      <c r="DI58" s="226">
        <f t="shared" si="4"/>
        <v>0</v>
      </c>
      <c r="DJ58" s="226">
        <f t="shared" si="5"/>
        <v>0</v>
      </c>
      <c r="DL58" s="220">
        <f t="shared" si="6"/>
        <v>0</v>
      </c>
      <c r="DM58" s="227">
        <f t="shared" si="7"/>
        <v>0</v>
      </c>
      <c r="DN58" s="220">
        <f t="shared" si="8"/>
        <v>0</v>
      </c>
    </row>
    <row r="60" ht="15.75" hidden="1"/>
    <row r="61" ht="15.75" hidden="1">
      <c r="CJ61" s="227">
        <f>CJ63-CJ62</f>
        <v>25012</v>
      </c>
    </row>
    <row r="62" spans="4:88" ht="15.75" hidden="1">
      <c r="D62" s="220">
        <f>D51+D11</f>
        <v>1830</v>
      </c>
      <c r="E62" s="220">
        <f>E51+E11</f>
        <v>149</v>
      </c>
      <c r="M62" s="220"/>
      <c r="BB62" s="220"/>
      <c r="CJ62" s="227">
        <f>CJ50+CJ54+8000</f>
        <v>58812</v>
      </c>
    </row>
    <row r="63" ht="15.75" hidden="1">
      <c r="CJ63" s="219">
        <v>83824</v>
      </c>
    </row>
    <row r="64" ht="15.75" hidden="1"/>
    <row r="65" ht="15.75" hidden="1"/>
    <row r="66" ht="15.75" hidden="1"/>
    <row r="67" ht="15.75" hidden="1"/>
  </sheetData>
  <sheetProtection/>
  <mergeCells count="106">
    <mergeCell ref="BM8:BM9"/>
    <mergeCell ref="BN8:BN9"/>
    <mergeCell ref="CD8:CD9"/>
    <mergeCell ref="CE8:CE9"/>
    <mergeCell ref="CF8:CF9"/>
    <mergeCell ref="BZ8:BZ9"/>
    <mergeCell ref="CA8:CA9"/>
    <mergeCell ref="BS7:BS9"/>
    <mergeCell ref="BW7:BW9"/>
    <mergeCell ref="BX7:CG7"/>
    <mergeCell ref="BX8:BX9"/>
    <mergeCell ref="CB8:CB9"/>
    <mergeCell ref="CC8:CC9"/>
    <mergeCell ref="BE7:BE9"/>
    <mergeCell ref="BF7:BF9"/>
    <mergeCell ref="BG7:BN7"/>
    <mergeCell ref="BP7:BP9"/>
    <mergeCell ref="BQ7:BQ9"/>
    <mergeCell ref="BR7:BR9"/>
    <mergeCell ref="BG8:BI8"/>
    <mergeCell ref="BJ8:BJ9"/>
    <mergeCell ref="BK8:BK9"/>
    <mergeCell ref="BL8:BL9"/>
    <mergeCell ref="CP5:CP9"/>
    <mergeCell ref="CT5:CT9"/>
    <mergeCell ref="AR6:AR9"/>
    <mergeCell ref="AS6:AS9"/>
    <mergeCell ref="AU6:AU9"/>
    <mergeCell ref="AV6:AV9"/>
    <mergeCell ref="AW6:AW9"/>
    <mergeCell ref="AX6:AX9"/>
    <mergeCell ref="AY6:AY9"/>
    <mergeCell ref="BB6:BB9"/>
    <mergeCell ref="AZ5:AZ9"/>
    <mergeCell ref="BA5:BA9"/>
    <mergeCell ref="BB5:BC5"/>
    <mergeCell ref="BD5:CI5"/>
    <mergeCell ref="CJ5:CJ9"/>
    <mergeCell ref="CN5:CN9"/>
    <mergeCell ref="BC6:BC9"/>
    <mergeCell ref="BD6:BD9"/>
    <mergeCell ref="BE6:BN6"/>
    <mergeCell ref="BO6:BO9"/>
    <mergeCell ref="A1:BG1"/>
    <mergeCell ref="A2:BG2"/>
    <mergeCell ref="Y5:Y9"/>
    <mergeCell ref="Z5:Z9"/>
    <mergeCell ref="AA5:AM6"/>
    <mergeCell ref="AP5:AP9"/>
    <mergeCell ref="AQ5:AQ9"/>
    <mergeCell ref="AR5:AS5"/>
    <mergeCell ref="AT5:AT9"/>
    <mergeCell ref="AU5:AY5"/>
    <mergeCell ref="CO5:CO9"/>
    <mergeCell ref="CI6:CI9"/>
    <mergeCell ref="BT7:BT9"/>
    <mergeCell ref="BU7:BU9"/>
    <mergeCell ref="BY8:BY9"/>
    <mergeCell ref="BP6:BU6"/>
    <mergeCell ref="BV6:BV9"/>
    <mergeCell ref="BW6:CG6"/>
    <mergeCell ref="CH6:CH9"/>
    <mergeCell ref="CG8:CG9"/>
    <mergeCell ref="AD7:AD9"/>
    <mergeCell ref="AI7:AI9"/>
    <mergeCell ref="AM7:AM9"/>
    <mergeCell ref="AF7:AF9"/>
    <mergeCell ref="AG7:AG9"/>
    <mergeCell ref="AH7:AH9"/>
    <mergeCell ref="AJ7:AJ9"/>
    <mergeCell ref="U7:U9"/>
    <mergeCell ref="V7:V9"/>
    <mergeCell ref="W7:W9"/>
    <mergeCell ref="X7:X9"/>
    <mergeCell ref="AA7:AA9"/>
    <mergeCell ref="J6:J9"/>
    <mergeCell ref="K6:X6"/>
    <mergeCell ref="K7:K9"/>
    <mergeCell ref="L7:L9"/>
    <mergeCell ref="O7:O9"/>
    <mergeCell ref="M7:M9"/>
    <mergeCell ref="P7:P9"/>
    <mergeCell ref="Q7:Q9"/>
    <mergeCell ref="R7:R9"/>
    <mergeCell ref="S7:S9"/>
    <mergeCell ref="N7:N9"/>
    <mergeCell ref="T7:T9"/>
    <mergeCell ref="AE7:AE9"/>
    <mergeCell ref="AK7:AK9"/>
    <mergeCell ref="AL7:AL9"/>
    <mergeCell ref="A5:A9"/>
    <mergeCell ref="B5:B9"/>
    <mergeCell ref="C5:C9"/>
    <mergeCell ref="E6:E9"/>
    <mergeCell ref="G6:G9"/>
    <mergeCell ref="H6:H9"/>
    <mergeCell ref="AO5:AO9"/>
    <mergeCell ref="D5:E5"/>
    <mergeCell ref="F5:F9"/>
    <mergeCell ref="J5:X5"/>
    <mergeCell ref="AB7:AB9"/>
    <mergeCell ref="AC7:AC9"/>
    <mergeCell ref="AN5:AN9"/>
    <mergeCell ref="G5:H5"/>
    <mergeCell ref="I5:I9"/>
    <mergeCell ref="D6:D9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O26"/>
  <sheetViews>
    <sheetView zoomScalePageLayoutView="0" workbookViewId="0" topLeftCell="A1">
      <selection activeCell="N11" sqref="N11"/>
    </sheetView>
  </sheetViews>
  <sheetFormatPr defaultColWidth="9.00390625" defaultRowHeight="15.75"/>
  <cols>
    <col min="1" max="1" width="6.125" style="142" customWidth="1"/>
    <col min="2" max="2" width="34.125" style="142" customWidth="1"/>
    <col min="3" max="3" width="23.50390625" style="142" hidden="1" customWidth="1"/>
    <col min="4" max="4" width="16.00390625" style="142" hidden="1" customWidth="1"/>
    <col min="5" max="5" width="12.375" style="142" customWidth="1"/>
    <col min="6" max="6" width="11.125" style="142" hidden="1" customWidth="1"/>
    <col min="7" max="7" width="9.00390625" style="142" hidden="1" customWidth="1"/>
    <col min="8" max="8" width="10.00390625" style="142" customWidth="1"/>
    <col min="9" max="12" width="9.00390625" style="142" customWidth="1"/>
    <col min="13" max="13" width="0" style="142" hidden="1" customWidth="1"/>
    <col min="14" max="16384" width="9.00390625" style="142" customWidth="1"/>
  </cols>
  <sheetData>
    <row r="1" spans="1:13" ht="16.5" customHeight="1">
      <c r="A1" s="461" t="str">
        <f>MA!A1</f>
        <v>CHI TIẾT GIAO DỰ TOÁN CHI NGÂN SÁCH NHÀ NƯỚC NĂM 2021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</row>
    <row r="2" spans="1:13" ht="16.5" customHeight="1">
      <c r="A2" s="461" t="s">
        <v>404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</row>
    <row r="3" spans="1:13" ht="15.75">
      <c r="A3" s="462" t="str">
        <f>MA!A5</f>
        <v>(Kèm theo Quyết định số 3346/QĐ-SGDĐT ngày 31 tháng 12 năm 2020 của Sở Giáo dục và Đào tạo)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</row>
    <row r="4" spans="1:13" ht="16.5">
      <c r="A4" s="191"/>
      <c r="B4" s="191"/>
      <c r="C4" s="191"/>
      <c r="D4" s="191"/>
      <c r="E4" s="191"/>
      <c r="F4" s="191"/>
      <c r="G4" s="192"/>
      <c r="H4" s="192"/>
      <c r="I4" s="192"/>
      <c r="M4" s="7" t="s">
        <v>29</v>
      </c>
    </row>
    <row r="5" spans="1:14" ht="15.75" customHeight="1">
      <c r="A5" s="459" t="s">
        <v>244</v>
      </c>
      <c r="B5" s="459" t="s">
        <v>249</v>
      </c>
      <c r="C5" s="459" t="s">
        <v>250</v>
      </c>
      <c r="D5" s="459" t="s">
        <v>251</v>
      </c>
      <c r="E5" s="459" t="s">
        <v>245</v>
      </c>
      <c r="F5" s="459" t="s">
        <v>494</v>
      </c>
      <c r="G5" s="459" t="s">
        <v>493</v>
      </c>
      <c r="H5" s="459" t="s">
        <v>495</v>
      </c>
      <c r="I5" s="459" t="s">
        <v>252</v>
      </c>
      <c r="J5" s="459" t="s">
        <v>253</v>
      </c>
      <c r="K5" s="459" t="s">
        <v>254</v>
      </c>
      <c r="L5" s="459" t="s">
        <v>259</v>
      </c>
      <c r="M5" s="459" t="s">
        <v>405</v>
      </c>
      <c r="N5" s="192"/>
    </row>
    <row r="6" spans="1:14" ht="44.25" customHeight="1">
      <c r="A6" s="460"/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192"/>
    </row>
    <row r="7" spans="1:14" ht="16.5">
      <c r="A7" s="165" t="s">
        <v>1</v>
      </c>
      <c r="B7" s="166" t="s">
        <v>25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93"/>
      <c r="N7" s="192"/>
    </row>
    <row r="8" spans="1:14" ht="16.5">
      <c r="A8" s="165" t="s">
        <v>20</v>
      </c>
      <c r="B8" s="166" t="s">
        <v>26</v>
      </c>
      <c r="C8" s="163"/>
      <c r="D8" s="163"/>
      <c r="E8" s="190">
        <f>E9</f>
        <v>27000</v>
      </c>
      <c r="F8" s="190">
        <f>F9</f>
        <v>0</v>
      </c>
      <c r="G8" s="190">
        <f>G9</f>
        <v>8000</v>
      </c>
      <c r="H8" s="190">
        <f>H9</f>
        <v>8000</v>
      </c>
      <c r="I8" s="163"/>
      <c r="J8" s="163"/>
      <c r="K8" s="163"/>
      <c r="L8" s="163"/>
      <c r="M8" s="193"/>
      <c r="N8" s="192"/>
    </row>
    <row r="9" spans="1:14" ht="16.5">
      <c r="A9" s="165">
        <v>1</v>
      </c>
      <c r="B9" s="166" t="s">
        <v>223</v>
      </c>
      <c r="C9" s="163"/>
      <c r="D9" s="163"/>
      <c r="E9" s="190">
        <f>SUM(E11:E21)</f>
        <v>27000</v>
      </c>
      <c r="F9" s="190">
        <f>SUM(F11:F21)</f>
        <v>0</v>
      </c>
      <c r="G9" s="190">
        <f>SUM(G11:G21)</f>
        <v>8000</v>
      </c>
      <c r="H9" s="190">
        <f>SUM(H11:H21)</f>
        <v>8000</v>
      </c>
      <c r="I9" s="163"/>
      <c r="J9" s="163"/>
      <c r="K9" s="163"/>
      <c r="L9" s="163"/>
      <c r="M9" s="193"/>
      <c r="N9" s="192"/>
    </row>
    <row r="10" spans="1:14" ht="16.5">
      <c r="A10" s="165"/>
      <c r="B10" s="166" t="s">
        <v>438</v>
      </c>
      <c r="C10" s="163"/>
      <c r="D10" s="163"/>
      <c r="E10" s="190">
        <f>SUM(E11:E21)</f>
        <v>27000</v>
      </c>
      <c r="F10" s="190">
        <f>SUM(F11:F21)</f>
        <v>0</v>
      </c>
      <c r="G10" s="190">
        <f>SUM(G11:G21)</f>
        <v>8000</v>
      </c>
      <c r="H10" s="190">
        <f>SUM(H11:H21)</f>
        <v>8000</v>
      </c>
      <c r="I10" s="163"/>
      <c r="J10" s="163"/>
      <c r="K10" s="163"/>
      <c r="L10" s="163"/>
      <c r="M10" s="200"/>
      <c r="N10" s="192"/>
    </row>
    <row r="11" spans="1:14" ht="47.25">
      <c r="A11" s="381">
        <v>1</v>
      </c>
      <c r="B11" s="382" t="s">
        <v>482</v>
      </c>
      <c r="C11" s="382" t="s">
        <v>261</v>
      </c>
      <c r="D11" s="382" t="s">
        <v>260</v>
      </c>
      <c r="E11" s="383">
        <v>2500</v>
      </c>
      <c r="F11" s="182"/>
      <c r="G11" s="182">
        <v>740</v>
      </c>
      <c r="H11" s="182">
        <v>740</v>
      </c>
      <c r="I11" s="182" t="s">
        <v>255</v>
      </c>
      <c r="J11" s="182" t="s">
        <v>256</v>
      </c>
      <c r="K11" s="182" t="s">
        <v>257</v>
      </c>
      <c r="L11" s="182" t="s">
        <v>219</v>
      </c>
      <c r="M11" s="164" t="s">
        <v>128</v>
      </c>
      <c r="N11" s="192"/>
    </row>
    <row r="12" spans="1:13" ht="47.25">
      <c r="A12" s="381">
        <v>2</v>
      </c>
      <c r="B12" s="382" t="s">
        <v>483</v>
      </c>
      <c r="C12" s="382" t="s">
        <v>262</v>
      </c>
      <c r="D12" s="382" t="s">
        <v>260</v>
      </c>
      <c r="E12" s="383">
        <v>2000</v>
      </c>
      <c r="F12" s="182"/>
      <c r="G12" s="182">
        <v>590</v>
      </c>
      <c r="H12" s="182">
        <v>590</v>
      </c>
      <c r="I12" s="182" t="s">
        <v>255</v>
      </c>
      <c r="J12" s="182" t="s">
        <v>256</v>
      </c>
      <c r="K12" s="182" t="s">
        <v>257</v>
      </c>
      <c r="L12" s="182" t="s">
        <v>219</v>
      </c>
      <c r="M12" s="164" t="s">
        <v>128</v>
      </c>
    </row>
    <row r="13" spans="1:13" ht="47.25">
      <c r="A13" s="381">
        <v>3</v>
      </c>
      <c r="B13" s="382" t="s">
        <v>484</v>
      </c>
      <c r="C13" s="382" t="s">
        <v>263</v>
      </c>
      <c r="D13" s="382" t="s">
        <v>260</v>
      </c>
      <c r="E13" s="383">
        <v>2500</v>
      </c>
      <c r="F13" s="182"/>
      <c r="G13" s="182">
        <v>740</v>
      </c>
      <c r="H13" s="182">
        <v>740</v>
      </c>
      <c r="I13" s="182" t="s">
        <v>255</v>
      </c>
      <c r="J13" s="182" t="s">
        <v>256</v>
      </c>
      <c r="K13" s="182" t="s">
        <v>257</v>
      </c>
      <c r="L13" s="182" t="s">
        <v>219</v>
      </c>
      <c r="M13" s="164" t="s">
        <v>128</v>
      </c>
    </row>
    <row r="14" spans="1:13" ht="47.25">
      <c r="A14" s="381">
        <v>4</v>
      </c>
      <c r="B14" s="382" t="s">
        <v>485</v>
      </c>
      <c r="C14" s="382" t="s">
        <v>264</v>
      </c>
      <c r="D14" s="382" t="s">
        <v>260</v>
      </c>
      <c r="E14" s="383">
        <v>2500</v>
      </c>
      <c r="F14" s="384"/>
      <c r="G14" s="182">
        <v>745</v>
      </c>
      <c r="H14" s="182">
        <v>745</v>
      </c>
      <c r="I14" s="182" t="s">
        <v>255</v>
      </c>
      <c r="J14" s="182" t="s">
        <v>256</v>
      </c>
      <c r="K14" s="182" t="s">
        <v>257</v>
      </c>
      <c r="L14" s="182" t="s">
        <v>219</v>
      </c>
      <c r="M14" s="164" t="s">
        <v>128</v>
      </c>
    </row>
    <row r="15" spans="1:13" ht="47.25">
      <c r="A15" s="381">
        <v>5</v>
      </c>
      <c r="B15" s="382" t="s">
        <v>486</v>
      </c>
      <c r="C15" s="382" t="s">
        <v>265</v>
      </c>
      <c r="D15" s="382" t="s">
        <v>260</v>
      </c>
      <c r="E15" s="383">
        <v>2000</v>
      </c>
      <c r="F15" s="182"/>
      <c r="G15" s="182">
        <v>590</v>
      </c>
      <c r="H15" s="182">
        <v>590</v>
      </c>
      <c r="I15" s="182" t="s">
        <v>255</v>
      </c>
      <c r="J15" s="182" t="s">
        <v>256</v>
      </c>
      <c r="K15" s="182" t="s">
        <v>257</v>
      </c>
      <c r="L15" s="182" t="s">
        <v>219</v>
      </c>
      <c r="M15" s="164" t="s">
        <v>128</v>
      </c>
    </row>
    <row r="16" spans="1:13" ht="47.25">
      <c r="A16" s="381">
        <v>6</v>
      </c>
      <c r="B16" s="382" t="s">
        <v>487</v>
      </c>
      <c r="C16" s="382" t="s">
        <v>266</v>
      </c>
      <c r="D16" s="382" t="s">
        <v>260</v>
      </c>
      <c r="E16" s="383">
        <v>3000</v>
      </c>
      <c r="F16" s="384"/>
      <c r="G16" s="182">
        <v>890</v>
      </c>
      <c r="H16" s="182">
        <v>890</v>
      </c>
      <c r="I16" s="182" t="s">
        <v>255</v>
      </c>
      <c r="J16" s="182" t="s">
        <v>256</v>
      </c>
      <c r="K16" s="182" t="s">
        <v>257</v>
      </c>
      <c r="L16" s="182" t="s">
        <v>219</v>
      </c>
      <c r="M16" s="164" t="s">
        <v>128</v>
      </c>
    </row>
    <row r="17" spans="1:15" ht="47.25">
      <c r="A17" s="381">
        <v>7</v>
      </c>
      <c r="B17" s="382" t="s">
        <v>488</v>
      </c>
      <c r="C17" s="382" t="s">
        <v>267</v>
      </c>
      <c r="D17" s="382" t="s">
        <v>260</v>
      </c>
      <c r="E17" s="383">
        <v>3000</v>
      </c>
      <c r="F17" s="384"/>
      <c r="G17" s="182">
        <v>890</v>
      </c>
      <c r="H17" s="182">
        <v>890</v>
      </c>
      <c r="I17" s="182" t="s">
        <v>255</v>
      </c>
      <c r="J17" s="182" t="s">
        <v>256</v>
      </c>
      <c r="K17" s="182" t="s">
        <v>257</v>
      </c>
      <c r="L17" s="182" t="s">
        <v>219</v>
      </c>
      <c r="M17" s="164" t="s">
        <v>128</v>
      </c>
      <c r="O17" s="194"/>
    </row>
    <row r="18" spans="1:13" ht="47.25">
      <c r="A18" s="381">
        <v>8</v>
      </c>
      <c r="B18" s="382" t="s">
        <v>489</v>
      </c>
      <c r="C18" s="382" t="s">
        <v>268</v>
      </c>
      <c r="D18" s="382" t="s">
        <v>260</v>
      </c>
      <c r="E18" s="383">
        <v>2500</v>
      </c>
      <c r="F18" s="182"/>
      <c r="G18" s="182">
        <v>740</v>
      </c>
      <c r="H18" s="182">
        <v>740</v>
      </c>
      <c r="I18" s="182" t="s">
        <v>255</v>
      </c>
      <c r="J18" s="182" t="s">
        <v>256</v>
      </c>
      <c r="K18" s="182" t="s">
        <v>257</v>
      </c>
      <c r="L18" s="182" t="s">
        <v>219</v>
      </c>
      <c r="M18" s="164" t="s">
        <v>128</v>
      </c>
    </row>
    <row r="19" spans="1:13" ht="47.25">
      <c r="A19" s="381">
        <v>9</v>
      </c>
      <c r="B19" s="382" t="s">
        <v>490</v>
      </c>
      <c r="C19" s="382" t="s">
        <v>269</v>
      </c>
      <c r="D19" s="382" t="s">
        <v>260</v>
      </c>
      <c r="E19" s="383">
        <v>2500</v>
      </c>
      <c r="F19" s="182"/>
      <c r="G19" s="182">
        <v>740</v>
      </c>
      <c r="H19" s="182">
        <v>740</v>
      </c>
      <c r="I19" s="182" t="s">
        <v>255</v>
      </c>
      <c r="J19" s="182" t="s">
        <v>256</v>
      </c>
      <c r="K19" s="182" t="s">
        <v>258</v>
      </c>
      <c r="L19" s="182" t="s">
        <v>219</v>
      </c>
      <c r="M19" s="164" t="s">
        <v>128</v>
      </c>
    </row>
    <row r="20" spans="1:15" ht="38.25" customHeight="1">
      <c r="A20" s="381">
        <v>10</v>
      </c>
      <c r="B20" s="382" t="s">
        <v>491</v>
      </c>
      <c r="C20" s="382" t="s">
        <v>270</v>
      </c>
      <c r="D20" s="382" t="s">
        <v>260</v>
      </c>
      <c r="E20" s="383">
        <v>2000</v>
      </c>
      <c r="F20" s="182"/>
      <c r="G20" s="182">
        <v>590</v>
      </c>
      <c r="H20" s="182">
        <v>590</v>
      </c>
      <c r="I20" s="182" t="s">
        <v>255</v>
      </c>
      <c r="J20" s="182" t="s">
        <v>256</v>
      </c>
      <c r="K20" s="182" t="s">
        <v>258</v>
      </c>
      <c r="L20" s="182" t="s">
        <v>219</v>
      </c>
      <c r="M20" s="164" t="s">
        <v>128</v>
      </c>
      <c r="O20" s="194"/>
    </row>
    <row r="21" spans="1:13" ht="47.25">
      <c r="A21" s="381">
        <v>11</v>
      </c>
      <c r="B21" s="382" t="s">
        <v>492</v>
      </c>
      <c r="C21" s="382" t="s">
        <v>271</v>
      </c>
      <c r="D21" s="382" t="s">
        <v>260</v>
      </c>
      <c r="E21" s="383">
        <v>2500</v>
      </c>
      <c r="F21" s="182"/>
      <c r="G21" s="182">
        <v>745</v>
      </c>
      <c r="H21" s="182">
        <v>745</v>
      </c>
      <c r="I21" s="182" t="s">
        <v>255</v>
      </c>
      <c r="J21" s="182" t="s">
        <v>256</v>
      </c>
      <c r="K21" s="182" t="s">
        <v>258</v>
      </c>
      <c r="L21" s="182" t="s">
        <v>219</v>
      </c>
      <c r="M21" s="164" t="s">
        <v>128</v>
      </c>
    </row>
    <row r="23" ht="15.75">
      <c r="F23" s="194"/>
    </row>
    <row r="24" spans="8:12" ht="15.75" hidden="1">
      <c r="H24" s="194" t="e">
        <f>H11+H12+H13+H14+H15+H16+H17+H18+#REF!</f>
        <v>#REF!</v>
      </c>
      <c r="L24" s="142">
        <v>74</v>
      </c>
    </row>
    <row r="25" spans="8:12" ht="15.75" hidden="1">
      <c r="H25" s="194" t="e">
        <f>#REF!+H21+H20+H19</f>
        <v>#REF!</v>
      </c>
      <c r="L25" s="142">
        <v>75</v>
      </c>
    </row>
    <row r="26" ht="15.75" hidden="1">
      <c r="H26" s="194" t="e">
        <f>#REF!</f>
        <v>#REF!</v>
      </c>
    </row>
  </sheetData>
  <sheetProtection/>
  <mergeCells count="16">
    <mergeCell ref="L5:L6"/>
    <mergeCell ref="M5:M6"/>
    <mergeCell ref="A1:M1"/>
    <mergeCell ref="A2:M2"/>
    <mergeCell ref="A3:M3"/>
    <mergeCell ref="H5:H6"/>
    <mergeCell ref="I5:I6"/>
    <mergeCell ref="J5:J6"/>
    <mergeCell ref="K5:K6"/>
    <mergeCell ref="A5:A6"/>
    <mergeCell ref="B5:B6"/>
    <mergeCell ref="C5:C6"/>
    <mergeCell ref="D5:D6"/>
    <mergeCell ref="E5:E6"/>
    <mergeCell ref="F5:F6"/>
    <mergeCell ref="G5:G6"/>
  </mergeCells>
  <printOptions/>
  <pageMargins left="0.5" right="0.25" top="0.62" bottom="0.57" header="0.3" footer="0.3"/>
  <pageSetup horizontalDpi="600" verticalDpi="600" orientation="portrait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3">
      <selection activeCell="B9" sqref="B9"/>
    </sheetView>
  </sheetViews>
  <sheetFormatPr defaultColWidth="9.00390625" defaultRowHeight="15.75"/>
  <cols>
    <col min="1" max="1" width="4.375" style="53" customWidth="1"/>
    <col min="2" max="2" width="39.75390625" style="53" customWidth="1"/>
    <col min="3" max="3" width="13.125" style="161" customWidth="1"/>
    <col min="4" max="4" width="7.50390625" style="161" customWidth="1"/>
    <col min="5" max="5" width="6.875" style="161" customWidth="1"/>
    <col min="6" max="6" width="7.25390625" style="161" customWidth="1"/>
    <col min="7" max="7" width="8.875" style="161" customWidth="1"/>
    <col min="8" max="8" width="10.125" style="161" customWidth="1"/>
    <col min="9" max="9" width="8.25390625" style="161" customWidth="1"/>
    <col min="10" max="10" width="8.50390625" style="53" customWidth="1"/>
    <col min="11" max="11" width="7.625" style="53" customWidth="1"/>
    <col min="12" max="16384" width="9.00390625" style="53" customWidth="1"/>
  </cols>
  <sheetData>
    <row r="1" ht="15.75" hidden="1">
      <c r="H1" s="167" t="e">
        <f>#REF!+#REF!+#REF!+#REF!</f>
        <v>#REF!</v>
      </c>
    </row>
    <row r="2" ht="15.75" hidden="1">
      <c r="H2" s="167" t="e">
        <f>#REF!+#REF!+#REF!+#REF!+#REF!+#REF!++#REF!</f>
        <v>#REF!</v>
      </c>
    </row>
  </sheetData>
  <sheetProtection/>
  <printOptions/>
  <pageMargins left="0.5" right="0.25" top="0.75" bottom="0.5" header="0.3" footer="0.3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11">
      <selection activeCell="D11" sqref="D11"/>
    </sheetView>
  </sheetViews>
  <sheetFormatPr defaultColWidth="9.00390625" defaultRowHeight="15.75"/>
  <cols>
    <col min="1" max="1" width="5.125" style="15" customWidth="1"/>
    <col min="2" max="2" width="35.875" style="15" customWidth="1"/>
    <col min="3" max="3" width="10.625" style="15" customWidth="1"/>
    <col min="4" max="4" width="11.75390625" style="15" customWidth="1"/>
    <col min="5" max="5" width="20.6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32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bổ'!F42</f>
        <v>1031710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bổ'!F43</f>
        <v>2764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12547</v>
      </c>
      <c r="D10" s="12">
        <f>D11+D14</f>
        <v>12547</v>
      </c>
      <c r="E10" s="13"/>
    </row>
    <row r="11" spans="1:5" s="3" customFormat="1" ht="19.5" customHeight="1">
      <c r="A11" s="16">
        <v>1</v>
      </c>
      <c r="B11" s="13" t="s">
        <v>27</v>
      </c>
      <c r="C11" s="17">
        <f>D11</f>
        <v>8887</v>
      </c>
      <c r="D11" s="17">
        <f>Sheet2!DZ15</f>
        <v>8887</v>
      </c>
      <c r="E11" s="18"/>
    </row>
    <row r="12" spans="1:5" s="3" customFormat="1" ht="36.75" customHeight="1">
      <c r="A12" s="77"/>
      <c r="B12" s="102" t="s">
        <v>248</v>
      </c>
      <c r="C12" s="78">
        <f>D12</f>
        <v>149</v>
      </c>
      <c r="D12" s="78">
        <f>Sheet2!AX15</f>
        <v>149</v>
      </c>
      <c r="E12" s="79"/>
    </row>
    <row r="13" spans="1:5" s="3" customFormat="1" ht="36.75" customHeight="1">
      <c r="A13" s="77"/>
      <c r="B13" s="102" t="s">
        <v>417</v>
      </c>
      <c r="C13" s="126">
        <f>D13</f>
        <v>17</v>
      </c>
      <c r="D13" s="78">
        <f>Sheet2!AY15</f>
        <v>17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3660</v>
      </c>
      <c r="D14" s="17">
        <f>Sheet2!EA15</f>
        <v>3660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2">SUM(D15:D15)</f>
        <v>0</v>
      </c>
      <c r="D15" s="17"/>
      <c r="E15" s="80"/>
    </row>
    <row r="16" spans="1:5" s="14" customFormat="1" ht="30">
      <c r="A16" s="13"/>
      <c r="B16" s="101" t="s">
        <v>208</v>
      </c>
      <c r="C16" s="17">
        <f t="shared" si="0"/>
        <v>105</v>
      </c>
      <c r="D16" s="111">
        <f>Sheet2!BH15</f>
        <v>105</v>
      </c>
      <c r="E16" s="81"/>
    </row>
    <row r="17" spans="1:5" s="14" customFormat="1" ht="30">
      <c r="A17" s="13"/>
      <c r="B17" s="101" t="s">
        <v>207</v>
      </c>
      <c r="C17" s="17">
        <f t="shared" si="0"/>
        <v>250</v>
      </c>
      <c r="D17" s="111">
        <f>Sheet2!BI15</f>
        <v>250</v>
      </c>
      <c r="E17" s="81"/>
    </row>
    <row r="18" spans="1:5" s="14" customFormat="1" ht="30">
      <c r="A18" s="13"/>
      <c r="B18" s="101" t="s">
        <v>209</v>
      </c>
      <c r="C18" s="17">
        <f t="shared" si="0"/>
        <v>3153</v>
      </c>
      <c r="D18" s="111">
        <f>Sheet2!BJ15</f>
        <v>3153</v>
      </c>
      <c r="E18" s="81"/>
    </row>
    <row r="19" spans="1:5" s="14" customFormat="1" ht="30">
      <c r="A19" s="13"/>
      <c r="B19" s="101" t="s">
        <v>210</v>
      </c>
      <c r="C19" s="17">
        <f t="shared" si="0"/>
        <v>0</v>
      </c>
      <c r="D19" s="111"/>
      <c r="E19" s="81"/>
    </row>
    <row r="20" spans="1:5" s="14" customFormat="1" ht="30">
      <c r="A20" s="13"/>
      <c r="B20" s="101" t="s">
        <v>211</v>
      </c>
      <c r="C20" s="17">
        <f t="shared" si="0"/>
        <v>152</v>
      </c>
      <c r="D20" s="111">
        <f>Sheet2!BL15</f>
        <v>152</v>
      </c>
      <c r="E20" s="81"/>
    </row>
    <row r="21" spans="1:5" s="14" customFormat="1" ht="16.5">
      <c r="A21" s="13"/>
      <c r="B21" s="101"/>
      <c r="C21" s="17">
        <f t="shared" si="0"/>
        <v>0</v>
      </c>
      <c r="D21" s="81"/>
      <c r="E21" s="81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E7:E8"/>
    <mergeCell ref="A1:E1"/>
    <mergeCell ref="A2:E2"/>
    <mergeCell ref="A5:E5"/>
    <mergeCell ref="A7:A8"/>
    <mergeCell ref="B7:B8"/>
    <mergeCell ref="C7:C8"/>
    <mergeCell ref="A3:B3"/>
    <mergeCell ref="A4:B4"/>
    <mergeCell ref="D7:D8"/>
  </mergeCells>
  <printOptions/>
  <pageMargins left="0.7" right="0.48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13">
      <selection activeCell="E18" sqref="E18"/>
    </sheetView>
  </sheetViews>
  <sheetFormatPr defaultColWidth="9.00390625" defaultRowHeight="15.75"/>
  <cols>
    <col min="1" max="1" width="5.125" style="15" customWidth="1"/>
    <col min="2" max="2" width="35.875" style="15" customWidth="1"/>
    <col min="3" max="3" width="10.625" style="15" customWidth="1"/>
    <col min="4" max="4" width="11.75390625" style="15" customWidth="1"/>
    <col min="5" max="5" width="24.003906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33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bổ'!G42</f>
        <v>1031714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bổ'!G43</f>
        <v>2765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5883</v>
      </c>
      <c r="D10" s="12">
        <f>D11+D14</f>
        <v>5883</v>
      </c>
      <c r="E10" s="13"/>
    </row>
    <row r="11" spans="1:5" s="3" customFormat="1" ht="19.5" customHeight="1">
      <c r="A11" s="16">
        <v>1</v>
      </c>
      <c r="B11" s="13" t="s">
        <v>27</v>
      </c>
      <c r="C11" s="17">
        <f>D11</f>
        <v>4751</v>
      </c>
      <c r="D11" s="17">
        <f>Sheet2!DZ16</f>
        <v>4751</v>
      </c>
      <c r="E11" s="18"/>
    </row>
    <row r="12" spans="1:5" s="3" customFormat="1" ht="34.5" customHeight="1">
      <c r="A12" s="77"/>
      <c r="B12" s="102" t="s">
        <v>248</v>
      </c>
      <c r="C12" s="147">
        <f>D12</f>
        <v>102</v>
      </c>
      <c r="D12" s="147">
        <f>Sheet2!AX16</f>
        <v>102</v>
      </c>
      <c r="E12" s="79"/>
    </row>
    <row r="13" spans="1:5" s="3" customFormat="1" ht="34.5" customHeight="1">
      <c r="A13" s="77"/>
      <c r="B13" s="102" t="s">
        <v>417</v>
      </c>
      <c r="C13" s="126">
        <f>D13</f>
        <v>12</v>
      </c>
      <c r="D13" s="147">
        <f>Sheet2!AY16</f>
        <v>12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1132</v>
      </c>
      <c r="D14" s="17">
        <f>Sheet2!EA16</f>
        <v>1132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2">SUM(D15:D15)</f>
        <v>0</v>
      </c>
      <c r="D15" s="17"/>
      <c r="E15" s="80"/>
    </row>
    <row r="16" spans="1:5" s="14" customFormat="1" ht="30">
      <c r="A16" s="13"/>
      <c r="B16" s="101" t="s">
        <v>208</v>
      </c>
      <c r="C16" s="145">
        <f t="shared" si="0"/>
        <v>29</v>
      </c>
      <c r="D16" s="146">
        <f>Sheet2!BH16</f>
        <v>29</v>
      </c>
      <c r="E16" s="81"/>
    </row>
    <row r="17" spans="1:5" s="14" customFormat="1" ht="30">
      <c r="A17" s="13"/>
      <c r="B17" s="101" t="s">
        <v>207</v>
      </c>
      <c r="C17" s="145">
        <f t="shared" si="0"/>
        <v>113</v>
      </c>
      <c r="D17" s="146">
        <f>Sheet2!BI16</f>
        <v>113</v>
      </c>
      <c r="E17" s="81"/>
    </row>
    <row r="18" spans="1:5" s="14" customFormat="1" ht="30">
      <c r="A18" s="13"/>
      <c r="B18" s="101" t="s">
        <v>209</v>
      </c>
      <c r="C18" s="145">
        <f t="shared" si="0"/>
        <v>990</v>
      </c>
      <c r="D18" s="146">
        <f>Sheet2!BJ16</f>
        <v>990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25"/>
      <c r="E19" s="81"/>
    </row>
    <row r="20" spans="1:5" s="14" customFormat="1" ht="30">
      <c r="A20" s="13"/>
      <c r="B20" s="101" t="s">
        <v>211</v>
      </c>
      <c r="C20" s="145">
        <f t="shared" si="0"/>
        <v>0</v>
      </c>
      <c r="D20" s="125"/>
      <c r="E20" s="81"/>
    </row>
    <row r="21" spans="1:5" s="14" customFormat="1" ht="16.5">
      <c r="A21" s="13"/>
      <c r="B21" s="101"/>
      <c r="C21" s="17">
        <f t="shared" si="0"/>
        <v>0</v>
      </c>
      <c r="D21" s="81"/>
      <c r="E21" s="81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E7:E8"/>
    <mergeCell ref="A1:E1"/>
    <mergeCell ref="A2:E2"/>
    <mergeCell ref="A5:E5"/>
    <mergeCell ref="A7:A8"/>
    <mergeCell ref="B7:B8"/>
    <mergeCell ref="C7:C8"/>
    <mergeCell ref="A3:B3"/>
    <mergeCell ref="A4:B4"/>
    <mergeCell ref="D7:D8"/>
  </mergeCells>
  <printOptions/>
  <pageMargins left="0.7" right="0.56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14">
      <selection activeCell="D15" sqref="D15:D18"/>
    </sheetView>
  </sheetViews>
  <sheetFormatPr defaultColWidth="9.00390625" defaultRowHeight="15.75"/>
  <cols>
    <col min="1" max="1" width="5.125" style="15" customWidth="1"/>
    <col min="2" max="2" width="35.875" style="15" customWidth="1"/>
    <col min="3" max="3" width="10.625" style="15" customWidth="1"/>
    <col min="4" max="4" width="11.75390625" style="15" customWidth="1"/>
    <col min="5" max="5" width="24.253906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35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bổ'!H42</f>
        <v>1031711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bổ'!H43</f>
        <v>2761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11617</v>
      </c>
      <c r="D10" s="12">
        <f>D11+D14</f>
        <v>11617</v>
      </c>
      <c r="E10" s="13"/>
    </row>
    <row r="11" spans="1:5" s="3" customFormat="1" ht="19.5" customHeight="1">
      <c r="A11" s="16">
        <v>1</v>
      </c>
      <c r="B11" s="13" t="s">
        <v>27</v>
      </c>
      <c r="C11" s="17">
        <f>D11</f>
        <v>11466</v>
      </c>
      <c r="D11" s="17">
        <f>Sheet2!DZ17</f>
        <v>11466</v>
      </c>
      <c r="E11" s="18"/>
    </row>
    <row r="12" spans="1:5" s="3" customFormat="1" ht="36.75" customHeight="1">
      <c r="A12" s="77"/>
      <c r="B12" s="102" t="s">
        <v>248</v>
      </c>
      <c r="C12" s="147">
        <f>D12</f>
        <v>140</v>
      </c>
      <c r="D12" s="147">
        <f>Sheet2!AX17</f>
        <v>140</v>
      </c>
      <c r="E12" s="79"/>
    </row>
    <row r="13" spans="1:5" s="3" customFormat="1" ht="36.75" customHeight="1">
      <c r="A13" s="77"/>
      <c r="B13" s="102" t="s">
        <v>417</v>
      </c>
      <c r="C13" s="126">
        <f>D13</f>
        <v>16</v>
      </c>
      <c r="D13" s="147">
        <f>Sheet2!AY17</f>
        <v>16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151</v>
      </c>
      <c r="D14" s="17">
        <f>Sheet2!EA17</f>
        <v>151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2">SUM(D15:D15)</f>
        <v>0</v>
      </c>
      <c r="D15" s="17"/>
      <c r="E15" s="80"/>
    </row>
    <row r="16" spans="1:5" s="14" customFormat="1" ht="30">
      <c r="A16" s="13"/>
      <c r="B16" s="101" t="s">
        <v>208</v>
      </c>
      <c r="C16" s="145">
        <f t="shared" si="0"/>
        <v>69</v>
      </c>
      <c r="D16" s="146">
        <f>Sheet2!BH17</f>
        <v>69</v>
      </c>
      <c r="E16" s="81"/>
    </row>
    <row r="17" spans="1:5" s="14" customFormat="1" ht="30">
      <c r="A17" s="13"/>
      <c r="B17" s="101" t="s">
        <v>207</v>
      </c>
      <c r="C17" s="145">
        <f t="shared" si="0"/>
        <v>10</v>
      </c>
      <c r="D17" s="146">
        <f>Sheet2!BI17</f>
        <v>10</v>
      </c>
      <c r="E17" s="81"/>
    </row>
    <row r="18" spans="1:5" s="14" customFormat="1" ht="30">
      <c r="A18" s="13"/>
      <c r="B18" s="101" t="s">
        <v>209</v>
      </c>
      <c r="C18" s="145">
        <f t="shared" si="0"/>
        <v>72</v>
      </c>
      <c r="D18" s="146">
        <f>Sheet2!BJ17</f>
        <v>72</v>
      </c>
      <c r="E18" s="81"/>
    </row>
    <row r="19" spans="1:5" s="14" customFormat="1" ht="30">
      <c r="A19" s="13"/>
      <c r="B19" s="101" t="s">
        <v>210</v>
      </c>
      <c r="C19" s="145">
        <f t="shared" si="0"/>
        <v>0</v>
      </c>
      <c r="D19" s="125"/>
      <c r="E19" s="81"/>
    </row>
    <row r="20" spans="1:5" s="14" customFormat="1" ht="30">
      <c r="A20" s="13"/>
      <c r="B20" s="101" t="s">
        <v>211</v>
      </c>
      <c r="C20" s="145">
        <f t="shared" si="0"/>
        <v>0</v>
      </c>
      <c r="D20" s="125"/>
      <c r="E20" s="81"/>
    </row>
    <row r="21" spans="1:5" s="14" customFormat="1" ht="16.5">
      <c r="A21" s="13"/>
      <c r="B21" s="101"/>
      <c r="C21" s="17">
        <f t="shared" si="0"/>
        <v>0</v>
      </c>
      <c r="D21" s="81"/>
      <c r="E21" s="81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E7:E8"/>
    <mergeCell ref="A1:E1"/>
    <mergeCell ref="A2:E2"/>
    <mergeCell ref="A5:E5"/>
    <mergeCell ref="A7:A8"/>
    <mergeCell ref="B7:B8"/>
    <mergeCell ref="C7:C8"/>
    <mergeCell ref="A3:B3"/>
    <mergeCell ref="A4:B4"/>
    <mergeCell ref="D7:D8"/>
  </mergeCells>
  <printOptions/>
  <pageMargins left="0.7" right="0.5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14">
      <selection activeCell="E20" sqref="E20"/>
    </sheetView>
  </sheetViews>
  <sheetFormatPr defaultColWidth="9.00390625" defaultRowHeight="15.75"/>
  <cols>
    <col min="1" max="1" width="5.125" style="15" customWidth="1"/>
    <col min="2" max="2" width="35.875" style="15" customWidth="1"/>
    <col min="3" max="3" width="10.625" style="15" customWidth="1"/>
    <col min="4" max="4" width="11.75390625" style="15" customWidth="1"/>
    <col min="5" max="5" width="24.87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34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bổ'!I42</f>
        <v>1031584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bổ'!I43</f>
        <v>2767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9754</v>
      </c>
      <c r="D10" s="12">
        <f>D11+D14</f>
        <v>9754</v>
      </c>
      <c r="E10" s="13"/>
    </row>
    <row r="11" spans="1:5" s="3" customFormat="1" ht="19.5" customHeight="1">
      <c r="A11" s="16">
        <v>1</v>
      </c>
      <c r="B11" s="13" t="s">
        <v>27</v>
      </c>
      <c r="C11" s="17">
        <f>D11</f>
        <v>8985</v>
      </c>
      <c r="D11" s="17">
        <f>Sheet2!DZ18</f>
        <v>8985</v>
      </c>
      <c r="E11" s="18"/>
    </row>
    <row r="12" spans="1:5" s="3" customFormat="1" ht="34.5" customHeight="1">
      <c r="A12" s="77"/>
      <c r="B12" s="102" t="s">
        <v>248</v>
      </c>
      <c r="C12" s="147">
        <f>D12</f>
        <v>120</v>
      </c>
      <c r="D12" s="147">
        <f>Sheet2!AX18</f>
        <v>120</v>
      </c>
      <c r="E12" s="79"/>
    </row>
    <row r="13" spans="1:5" s="3" customFormat="1" ht="34.5" customHeight="1">
      <c r="A13" s="77"/>
      <c r="B13" s="102" t="s">
        <v>417</v>
      </c>
      <c r="C13" s="126">
        <f>D13</f>
        <v>14</v>
      </c>
      <c r="D13" s="147">
        <f>Sheet2!AY18</f>
        <v>14</v>
      </c>
      <c r="E13" s="79"/>
    </row>
    <row r="14" spans="1:5" s="14" customFormat="1" ht="16.5">
      <c r="A14" s="16">
        <v>2</v>
      </c>
      <c r="B14" s="13" t="s">
        <v>28</v>
      </c>
      <c r="C14" s="17">
        <f>SUM(D14:D14)</f>
        <v>769</v>
      </c>
      <c r="D14" s="17">
        <f>Sheet2!EA18</f>
        <v>769</v>
      </c>
      <c r="E14" s="80"/>
    </row>
    <row r="15" spans="1:5" s="14" customFormat="1" ht="16.5">
      <c r="A15" s="16"/>
      <c r="B15" s="108" t="s">
        <v>214</v>
      </c>
      <c r="C15" s="17">
        <f aca="true" t="shared" si="0" ref="C15:C22">SUM(D15:D15)</f>
        <v>0</v>
      </c>
      <c r="D15" s="111"/>
      <c r="E15" s="80"/>
    </row>
    <row r="16" spans="1:5" s="14" customFormat="1" ht="30">
      <c r="A16" s="13"/>
      <c r="B16" s="101" t="s">
        <v>208</v>
      </c>
      <c r="C16" s="17">
        <f t="shared" si="0"/>
        <v>86</v>
      </c>
      <c r="D16" s="146">
        <f>Sheet2!BH18</f>
        <v>86</v>
      </c>
      <c r="E16" s="81"/>
    </row>
    <row r="17" spans="1:5" s="14" customFormat="1" ht="30">
      <c r="A17" s="13"/>
      <c r="B17" s="101" t="s">
        <v>207</v>
      </c>
      <c r="C17" s="17">
        <f t="shared" si="0"/>
        <v>93</v>
      </c>
      <c r="D17" s="146">
        <f>Sheet2!BI18</f>
        <v>93</v>
      </c>
      <c r="E17" s="81"/>
    </row>
    <row r="18" spans="1:5" s="14" customFormat="1" ht="30">
      <c r="A18" s="13"/>
      <c r="B18" s="101" t="s">
        <v>209</v>
      </c>
      <c r="C18" s="17">
        <f t="shared" si="0"/>
        <v>543</v>
      </c>
      <c r="D18" s="146">
        <f>Sheet2!BJ18</f>
        <v>543</v>
      </c>
      <c r="E18" s="81"/>
    </row>
    <row r="19" spans="1:5" s="14" customFormat="1" ht="30">
      <c r="A19" s="13"/>
      <c r="B19" s="101" t="s">
        <v>210</v>
      </c>
      <c r="C19" s="17">
        <f t="shared" si="0"/>
        <v>0</v>
      </c>
      <c r="D19" s="148"/>
      <c r="E19" s="81"/>
    </row>
    <row r="20" spans="1:5" s="14" customFormat="1" ht="30">
      <c r="A20" s="13"/>
      <c r="B20" s="101" t="s">
        <v>211</v>
      </c>
      <c r="C20" s="17">
        <f t="shared" si="0"/>
        <v>47</v>
      </c>
      <c r="D20" s="146">
        <f>Sheet2!BL18</f>
        <v>47</v>
      </c>
      <c r="E20" s="81"/>
    </row>
    <row r="21" spans="1:5" s="14" customFormat="1" ht="16.5">
      <c r="A21" s="13"/>
      <c r="B21" s="101"/>
      <c r="C21" s="17">
        <f t="shared" si="0"/>
        <v>0</v>
      </c>
      <c r="D21" s="81"/>
      <c r="E21" s="81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E7:E8"/>
    <mergeCell ref="A1:E1"/>
    <mergeCell ref="A2:E2"/>
    <mergeCell ref="A5:E5"/>
    <mergeCell ref="A7:A8"/>
    <mergeCell ref="B7:B8"/>
    <mergeCell ref="C7:C8"/>
    <mergeCell ref="A3:B3"/>
    <mergeCell ref="A4:B4"/>
    <mergeCell ref="D7:D8"/>
  </mergeCells>
  <printOptions/>
  <pageMargins left="0.7" right="0.5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7">
      <selection activeCell="D19" sqref="D19"/>
    </sheetView>
  </sheetViews>
  <sheetFormatPr defaultColWidth="9.00390625" defaultRowHeight="15.75"/>
  <cols>
    <col min="1" max="1" width="5.125" style="15" customWidth="1"/>
    <col min="2" max="2" width="36.375" style="15" customWidth="1"/>
    <col min="3" max="3" width="10.625" style="15" customWidth="1"/>
    <col min="4" max="4" width="11.75390625" style="15" customWidth="1"/>
    <col min="5" max="5" width="23.50390625" style="15" customWidth="1"/>
    <col min="6" max="16384" width="9.00390625" style="15" customWidth="1"/>
  </cols>
  <sheetData>
    <row r="1" spans="1:5" s="3" customFormat="1" ht="23.25" customHeight="1">
      <c r="A1" s="406" t="str">
        <f>MA!A1</f>
        <v>CHI TIẾT GIAO DỰ TOÁN CHI NGÂN SÁCH NHÀ NƯỚC NĂM 2021</v>
      </c>
      <c r="B1" s="406"/>
      <c r="C1" s="406"/>
      <c r="D1" s="406"/>
      <c r="E1" s="406"/>
    </row>
    <row r="2" spans="1:5" s="4" customFormat="1" ht="18" customHeight="1">
      <c r="A2" s="407" t="s">
        <v>36</v>
      </c>
      <c r="B2" s="407"/>
      <c r="C2" s="407"/>
      <c r="D2" s="407"/>
      <c r="E2" s="407"/>
    </row>
    <row r="3" spans="1:5" s="4" customFormat="1" ht="16.5" customHeight="1">
      <c r="A3" s="410" t="s">
        <v>183</v>
      </c>
      <c r="B3" s="410"/>
      <c r="C3" s="73" t="str">
        <f>'Phân bổ'!J42</f>
        <v>1031672</v>
      </c>
      <c r="D3" s="72"/>
      <c r="E3" s="72"/>
    </row>
    <row r="4" spans="1:5" s="4" customFormat="1" ht="15" customHeight="1">
      <c r="A4" s="410" t="s">
        <v>184</v>
      </c>
      <c r="B4" s="410"/>
      <c r="C4" s="73" t="str">
        <f>'Phân bổ'!J43</f>
        <v>2761</v>
      </c>
      <c r="D4" s="72"/>
      <c r="E4" s="72"/>
    </row>
    <row r="5" spans="1:5" s="3" customFormat="1" ht="16.5">
      <c r="A5" s="408" t="str">
        <f>MA!A5</f>
        <v>(Kèm theo Quyết định số 3346/QĐ-SGDĐT ngày 31 tháng 12 năm 2020 của Sở Giáo dục và Đào tạo)</v>
      </c>
      <c r="B5" s="408"/>
      <c r="C5" s="408"/>
      <c r="D5" s="408"/>
      <c r="E5" s="408"/>
    </row>
    <row r="6" spans="1:5" s="3" customFormat="1" ht="16.5">
      <c r="A6" s="5"/>
      <c r="B6" s="5"/>
      <c r="C6" s="6"/>
      <c r="D6" s="6"/>
      <c r="E6" s="7" t="s">
        <v>29</v>
      </c>
    </row>
    <row r="7" spans="1:5" s="8" customFormat="1" ht="30.75" customHeight="1">
      <c r="A7" s="404" t="s">
        <v>0</v>
      </c>
      <c r="B7" s="404" t="s">
        <v>22</v>
      </c>
      <c r="C7" s="404" t="s">
        <v>23</v>
      </c>
      <c r="D7" s="411" t="s">
        <v>187</v>
      </c>
      <c r="E7" s="404" t="s">
        <v>24</v>
      </c>
    </row>
    <row r="8" spans="1:5" s="8" customFormat="1" ht="33.75" customHeight="1">
      <c r="A8" s="405"/>
      <c r="B8" s="405"/>
      <c r="C8" s="409"/>
      <c r="D8" s="412"/>
      <c r="E8" s="405"/>
    </row>
    <row r="9" spans="1:5" s="11" customFormat="1" ht="18" customHeight="1">
      <c r="A9" s="85" t="s">
        <v>1</v>
      </c>
      <c r="B9" s="86" t="s">
        <v>25</v>
      </c>
      <c r="C9" s="9"/>
      <c r="D9" s="9"/>
      <c r="E9" s="10"/>
    </row>
    <row r="10" spans="1:5" s="11" customFormat="1" ht="18" customHeight="1">
      <c r="A10" s="87" t="s">
        <v>20</v>
      </c>
      <c r="B10" s="88" t="s">
        <v>236</v>
      </c>
      <c r="C10" s="12">
        <f>D10</f>
        <v>14120</v>
      </c>
      <c r="D10" s="12">
        <f>D11+D14</f>
        <v>14120</v>
      </c>
      <c r="E10" s="13"/>
    </row>
    <row r="11" spans="1:5" s="3" customFormat="1" ht="19.5" customHeight="1">
      <c r="A11" s="16">
        <v>1</v>
      </c>
      <c r="B11" s="13" t="s">
        <v>27</v>
      </c>
      <c r="C11" s="17">
        <f>D11</f>
        <v>14092</v>
      </c>
      <c r="D11" s="17">
        <f>Sheet2!DZ19</f>
        <v>14092</v>
      </c>
      <c r="E11" s="18"/>
    </row>
    <row r="12" spans="1:5" s="3" customFormat="1" ht="29.25" customHeight="1">
      <c r="A12" s="77"/>
      <c r="B12" s="102" t="s">
        <v>248</v>
      </c>
      <c r="C12" s="147">
        <f>D12</f>
        <v>355</v>
      </c>
      <c r="D12" s="147">
        <f>Sheet2!AX19</f>
        <v>355</v>
      </c>
      <c r="E12" s="79"/>
    </row>
    <row r="13" spans="1:5" s="3" customFormat="1" ht="29.25" customHeight="1">
      <c r="A13" s="77"/>
      <c r="B13" s="102" t="s">
        <v>417</v>
      </c>
      <c r="C13" s="126">
        <f>D13</f>
        <v>41</v>
      </c>
      <c r="D13" s="147">
        <f>Sheet2!AY19</f>
        <v>41</v>
      </c>
      <c r="E13" s="79"/>
    </row>
    <row r="14" spans="1:5" s="14" customFormat="1" ht="16.5">
      <c r="A14" s="16">
        <v>2</v>
      </c>
      <c r="B14" s="13" t="s">
        <v>28</v>
      </c>
      <c r="C14" s="111">
        <f>SUM(D14:D14)</f>
        <v>28</v>
      </c>
      <c r="D14" s="111">
        <f>Sheet2!EA19</f>
        <v>28</v>
      </c>
      <c r="E14" s="80"/>
    </row>
    <row r="15" spans="1:5" s="14" customFormat="1" ht="16.5">
      <c r="A15" s="16"/>
      <c r="B15" s="108" t="s">
        <v>214</v>
      </c>
      <c r="C15" s="111">
        <f aca="true" t="shared" si="0" ref="C15:C22">SUM(D15:D15)</f>
        <v>0</v>
      </c>
      <c r="D15" s="111"/>
      <c r="E15" s="80"/>
    </row>
    <row r="16" spans="1:5" s="14" customFormat="1" ht="30">
      <c r="A16" s="13"/>
      <c r="B16" s="101" t="s">
        <v>208</v>
      </c>
      <c r="C16" s="146">
        <f t="shared" si="0"/>
        <v>20</v>
      </c>
      <c r="D16" s="146">
        <f>Sheet2!BH19</f>
        <v>20</v>
      </c>
      <c r="E16" s="81"/>
    </row>
    <row r="17" spans="1:5" s="14" customFormat="1" ht="30">
      <c r="A17" s="13"/>
      <c r="B17" s="101" t="s">
        <v>207</v>
      </c>
      <c r="C17" s="146">
        <f t="shared" si="0"/>
        <v>1</v>
      </c>
      <c r="D17" s="146">
        <f>Sheet2!BI19</f>
        <v>1</v>
      </c>
      <c r="E17" s="81"/>
    </row>
    <row r="18" spans="1:5" s="14" customFormat="1" ht="30">
      <c r="A18" s="13"/>
      <c r="B18" s="101" t="s">
        <v>209</v>
      </c>
      <c r="C18" s="146">
        <f t="shared" si="0"/>
        <v>0</v>
      </c>
      <c r="D18" s="146">
        <f>Sheet2!BY19</f>
        <v>0</v>
      </c>
      <c r="E18" s="81"/>
    </row>
    <row r="19" spans="1:5" s="14" customFormat="1" ht="30">
      <c r="A19" s="13"/>
      <c r="B19" s="101" t="s">
        <v>210</v>
      </c>
      <c r="C19" s="145">
        <f t="shared" si="0"/>
        <v>7</v>
      </c>
      <c r="D19" s="146">
        <f>Sheet2!BK19</f>
        <v>7</v>
      </c>
      <c r="E19" s="81"/>
    </row>
    <row r="20" spans="1:5" s="14" customFormat="1" ht="30">
      <c r="A20" s="13"/>
      <c r="B20" s="101" t="s">
        <v>211</v>
      </c>
      <c r="C20" s="145">
        <f t="shared" si="0"/>
        <v>0</v>
      </c>
      <c r="D20" s="195">
        <f>Sheet2!CA19</f>
        <v>0</v>
      </c>
      <c r="E20" s="81"/>
    </row>
    <row r="21" spans="1:5" s="14" customFormat="1" ht="16.5">
      <c r="A21" s="13"/>
      <c r="B21" s="101" t="s">
        <v>412</v>
      </c>
      <c r="C21" s="17">
        <f t="shared" si="0"/>
        <v>0</v>
      </c>
      <c r="D21" s="146">
        <f>Sheet2!BU19</f>
        <v>0</v>
      </c>
      <c r="E21" s="81"/>
    </row>
    <row r="22" spans="1:5" s="14" customFormat="1" ht="16.5">
      <c r="A22" s="113"/>
      <c r="B22" s="109"/>
      <c r="C22" s="19">
        <f t="shared" si="0"/>
        <v>0</v>
      </c>
      <c r="D22" s="83"/>
      <c r="E22" s="83"/>
    </row>
    <row r="23" s="14" customFormat="1" ht="12.75"/>
  </sheetData>
  <sheetProtection/>
  <mergeCells count="10">
    <mergeCell ref="E7:E8"/>
    <mergeCell ref="A1:E1"/>
    <mergeCell ref="A2:E2"/>
    <mergeCell ref="A5:E5"/>
    <mergeCell ref="A7:A8"/>
    <mergeCell ref="B7:B8"/>
    <mergeCell ref="C7:C8"/>
    <mergeCell ref="A3:B3"/>
    <mergeCell ref="A4:B4"/>
    <mergeCell ref="D7:D8"/>
  </mergeCells>
  <printOptions/>
  <pageMargins left="0.7" right="0.54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2021-02-19T03:36:44Z</cp:lastPrinted>
  <dcterms:created xsi:type="dcterms:W3CDTF">2017-08-17T07:08:44Z</dcterms:created>
  <dcterms:modified xsi:type="dcterms:W3CDTF">2021-02-19T03:38:14Z</dcterms:modified>
  <cp:category/>
  <cp:version/>
  <cp:contentType/>
  <cp:contentStatus/>
</cp:coreProperties>
</file>